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drawings/drawing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5.xml" ContentType="application/vnd.openxmlformats-officedocument.drawing+xml"/>
  <Override PartName="/xl/comments5.xml" ContentType="application/vnd.openxmlformats-officedocument.spreadsheetml.comment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lsecloud-my.sharepoint.com/personal/h_yu30_lse_ac_uk/Documents/PES 25-26/PES Research 25-26/Pipeline Reports/Spectris-KKR Deal/"/>
    </mc:Choice>
  </mc:AlternateContent>
  <xr:revisionPtr revIDLastSave="1484" documentId="8_{41C3F3AC-76FB-427C-ADAB-8195A1C4E689}" xr6:coauthVersionLast="47" xr6:coauthVersionMax="47" xr10:uidLastSave="{A68E572D-147A-4953-AAE1-50F51C649836}"/>
  <bookViews>
    <workbookView xWindow="-108" yWindow="-108" windowWidth="23256" windowHeight="13896" xr2:uid="{9093F2DC-33BF-40F2-9EDA-7CD8F33E9B13}"/>
  </bookViews>
  <sheets>
    <sheet name="Cover" sheetId="8" r:id="rId1"/>
    <sheet name="Outputs " sheetId="6" r:id="rId2"/>
    <sheet name="Transaction Details" sheetId="1" r:id="rId3"/>
    <sheet name="Inputs and Drivers" sheetId="3" r:id="rId4"/>
    <sheet name="Model" sheetId="5" r:id="rId5"/>
    <sheet name="Share Price Data" sheetId="4" state="hidden" r:id="rId6"/>
    <sheet name="Graphs" sheetId="7" state="hidden" r:id="rId7"/>
    <sheet name="Spectris Raw Data " sheetId="2" state="hidden" r:id="rId8"/>
  </sheets>
  <definedNames>
    <definedName name="_xlnm._FilterDatabase" localSheetId="5" hidden="1">'Share Price Data'!$B$5:$D$237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39" i="5" l="1"/>
  <c r="Q348" i="5"/>
  <c r="P388" i="5"/>
  <c r="O388" i="5"/>
  <c r="N388" i="5"/>
  <c r="M388" i="5"/>
  <c r="L388" i="5"/>
  <c r="Q389" i="5"/>
  <c r="R284" i="5"/>
  <c r="R276" i="5"/>
  <c r="K352" i="5"/>
  <c r="K351" i="5"/>
  <c r="K349" i="5"/>
  <c r="K338" i="5"/>
  <c r="K337" i="5"/>
  <c r="K335" i="5"/>
  <c r="K334" i="5"/>
  <c r="Q313" i="5"/>
  <c r="Q305" i="5"/>
  <c r="Q300" i="5"/>
  <c r="Q318" i="5"/>
  <c r="K306" i="5"/>
  <c r="K298" i="5"/>
  <c r="K297" i="5"/>
  <c r="K296" i="5"/>
  <c r="R266" i="5"/>
  <c r="K257" i="5"/>
  <c r="K256" i="5"/>
  <c r="K255" i="5"/>
  <c r="P359" i="5"/>
  <c r="O359" i="5"/>
  <c r="N359" i="5"/>
  <c r="M359" i="5"/>
  <c r="L359" i="5"/>
  <c r="R359" i="5"/>
  <c r="Q359" i="5"/>
  <c r="Q284" i="5"/>
  <c r="K284" i="5"/>
  <c r="J284" i="5"/>
  <c r="K359" i="5"/>
  <c r="L311" i="2"/>
  <c r="K311" i="2"/>
  <c r="L421" i="5"/>
  <c r="K421" i="5"/>
  <c r="R303" i="5"/>
  <c r="K303" i="5"/>
  <c r="C44" i="1"/>
  <c r="R311" i="5"/>
  <c r="K311" i="5"/>
  <c r="S124" i="3"/>
  <c r="R124" i="3"/>
  <c r="V241" i="6"/>
  <c r="Q241" i="6"/>
  <c r="R3" i="5"/>
  <c r="J276" i="5"/>
  <c r="M46" i="6"/>
  <c r="L46" i="6"/>
  <c r="B248" i="6"/>
  <c r="B249" i="6"/>
  <c r="B250" i="6"/>
  <c r="B251" i="6"/>
  <c r="R44" i="6"/>
  <c r="L44" i="6"/>
  <c r="M39" i="6"/>
  <c r="N39" i="6"/>
  <c r="O39" i="6"/>
  <c r="P39" i="6"/>
  <c r="Q39" i="6"/>
  <c r="R39" i="6"/>
  <c r="M8" i="6"/>
  <c r="M9" i="6"/>
  <c r="M10" i="6"/>
  <c r="G25" i="6"/>
  <c r="G26" i="6"/>
  <c r="G27" i="6"/>
  <c r="G14" i="6"/>
  <c r="G20" i="6"/>
  <c r="R239" i="5"/>
  <c r="J100" i="5"/>
  <c r="C14" i="1"/>
  <c r="G13" i="6"/>
  <c r="R100" i="5"/>
  <c r="R99" i="5"/>
  <c r="C16" i="1"/>
  <c r="M29" i="1"/>
  <c r="G15" i="6"/>
  <c r="L8" i="1"/>
  <c r="U7" i="6"/>
  <c r="K107" i="5"/>
  <c r="R106" i="3"/>
  <c r="S106" i="3"/>
  <c r="R105" i="3"/>
  <c r="S105" i="3"/>
  <c r="R104" i="3"/>
  <c r="S104" i="3"/>
  <c r="R102" i="3"/>
  <c r="S102" i="3"/>
  <c r="R103" i="3"/>
  <c r="S103" i="3"/>
  <c r="G5" i="5"/>
  <c r="G6" i="5"/>
  <c r="H6" i="5"/>
  <c r="I6" i="5"/>
  <c r="J6" i="5"/>
  <c r="K6" i="5"/>
  <c r="L6" i="5"/>
  <c r="M6" i="5"/>
  <c r="N6" i="5"/>
  <c r="O6" i="5"/>
  <c r="P6" i="5"/>
  <c r="K233" i="5"/>
  <c r="R107" i="5"/>
  <c r="H5" i="5"/>
  <c r="H7" i="5"/>
  <c r="G7" i="5"/>
  <c r="J389" i="5"/>
  <c r="J380" i="5"/>
  <c r="J379" i="5"/>
  <c r="J257" i="5"/>
  <c r="B422" i="5"/>
  <c r="M420" i="5"/>
  <c r="K402" i="5"/>
  <c r="L402" i="5"/>
  <c r="M402" i="5"/>
  <c r="N402" i="5"/>
  <c r="O402" i="5"/>
  <c r="P402" i="5"/>
  <c r="E402" i="5"/>
  <c r="J402" i="5"/>
  <c r="B423" i="5"/>
  <c r="M423" i="5"/>
  <c r="L422" i="5"/>
  <c r="N420" i="5"/>
  <c r="M422" i="5"/>
  <c r="M421" i="5"/>
  <c r="I5" i="5"/>
  <c r="I7" i="5"/>
  <c r="E338" i="5"/>
  <c r="R350" i="5"/>
  <c r="R380" i="5"/>
  <c r="K380" i="5"/>
  <c r="R336" i="5"/>
  <c r="R348" i="5"/>
  <c r="K348" i="5"/>
  <c r="L348" i="5"/>
  <c r="M348" i="5"/>
  <c r="N348" i="5"/>
  <c r="O348" i="5"/>
  <c r="P348" i="5"/>
  <c r="R339" i="5"/>
  <c r="K336" i="5"/>
  <c r="R379" i="5"/>
  <c r="K379" i="5"/>
  <c r="K350" i="5"/>
  <c r="O420" i="5"/>
  <c r="N422" i="5"/>
  <c r="N421" i="5"/>
  <c r="B424" i="5"/>
  <c r="L423" i="5"/>
  <c r="K423" i="5"/>
  <c r="J5" i="5"/>
  <c r="J7" i="5"/>
  <c r="R315" i="5"/>
  <c r="K315" i="5"/>
  <c r="B425" i="5"/>
  <c r="L424" i="5"/>
  <c r="K424" i="5"/>
  <c r="P420" i="5"/>
  <c r="O421" i="5"/>
  <c r="K5" i="5"/>
  <c r="K7" i="5"/>
  <c r="L315" i="5"/>
  <c r="B426" i="5"/>
  <c r="L5" i="5"/>
  <c r="L7" i="5"/>
  <c r="M315" i="5"/>
  <c r="Q3" i="5"/>
  <c r="M5" i="5"/>
  <c r="M7" i="5"/>
  <c r="N315" i="5"/>
  <c r="Q266" i="5"/>
  <c r="K266" i="5"/>
  <c r="Q276" i="5"/>
  <c r="K276" i="5"/>
  <c r="J266" i="5"/>
  <c r="J97" i="5"/>
  <c r="J73" i="2"/>
  <c r="N5" i="5"/>
  <c r="O315" i="5"/>
  <c r="F36" i="1"/>
  <c r="Q7" i="5"/>
  <c r="Q249" i="5"/>
  <c r="Q325" i="5"/>
  <c r="Q291" i="5"/>
  <c r="O5" i="5"/>
  <c r="O7" i="5"/>
  <c r="N7" i="5"/>
  <c r="Q6" i="5"/>
  <c r="Q199" i="5"/>
  <c r="Q5" i="5"/>
  <c r="F37" i="1"/>
  <c r="R7" i="5"/>
  <c r="K249" i="5"/>
  <c r="P315" i="5"/>
  <c r="C128" i="3"/>
  <c r="L128" i="3"/>
  <c r="C127" i="3"/>
  <c r="C134" i="3"/>
  <c r="L134" i="3"/>
  <c r="R355" i="5"/>
  <c r="C131" i="3"/>
  <c r="L131" i="3"/>
  <c r="J14" i="3"/>
  <c r="L110" i="2"/>
  <c r="M110" i="2"/>
  <c r="N110" i="2"/>
  <c r="O110" i="2"/>
  <c r="P110" i="2"/>
  <c r="L110" i="3"/>
  <c r="F44" i="5"/>
  <c r="F191" i="5"/>
  <c r="I187" i="5"/>
  <c r="H187" i="5"/>
  <c r="G187" i="5"/>
  <c r="F187" i="5"/>
  <c r="I183" i="5"/>
  <c r="H183" i="5"/>
  <c r="G183" i="5"/>
  <c r="F183" i="5"/>
  <c r="M106" i="3"/>
  <c r="N106" i="3"/>
  <c r="O106" i="3"/>
  <c r="P106" i="3"/>
  <c r="L108" i="3"/>
  <c r="M44" i="6"/>
  <c r="P170" i="5"/>
  <c r="O170" i="5"/>
  <c r="N170" i="5"/>
  <c r="M170" i="5"/>
  <c r="L170" i="5"/>
  <c r="K170" i="5"/>
  <c r="J170" i="5"/>
  <c r="Q78" i="3"/>
  <c r="P167" i="5"/>
  <c r="Q81" i="3"/>
  <c r="Q79" i="3"/>
  <c r="K79" i="3"/>
  <c r="K81" i="3"/>
  <c r="L80" i="3"/>
  <c r="L79" i="3"/>
  <c r="Q68" i="3"/>
  <c r="P155" i="5"/>
  <c r="Q73" i="3"/>
  <c r="L73" i="3"/>
  <c r="Q74" i="3"/>
  <c r="L74" i="3"/>
  <c r="Q76" i="3"/>
  <c r="L76" i="3"/>
  <c r="M75" i="3"/>
  <c r="K78" i="3"/>
  <c r="J167" i="5"/>
  <c r="Q71" i="3"/>
  <c r="Q69" i="3"/>
  <c r="I142" i="5"/>
  <c r="H142" i="5"/>
  <c r="G142" i="5"/>
  <c r="F142" i="5"/>
  <c r="Q62" i="3"/>
  <c r="Q60" i="3"/>
  <c r="Q55" i="3"/>
  <c r="Q57" i="3"/>
  <c r="K62" i="3"/>
  <c r="K57" i="3"/>
  <c r="K55" i="3"/>
  <c r="K60" i="3"/>
  <c r="N47" i="3"/>
  <c r="N45" i="3"/>
  <c r="O46" i="3"/>
  <c r="N44" i="3"/>
  <c r="N40" i="3"/>
  <c r="N42" i="3"/>
  <c r="K42" i="3"/>
  <c r="O41" i="3"/>
  <c r="O42" i="3"/>
  <c r="O36" i="3"/>
  <c r="N34" i="3"/>
  <c r="N37" i="3"/>
  <c r="N35" i="3"/>
  <c r="L46" i="3"/>
  <c r="M46" i="3"/>
  <c r="M47" i="3"/>
  <c r="L41" i="3"/>
  <c r="M41" i="3"/>
  <c r="M40" i="3"/>
  <c r="L36" i="3"/>
  <c r="M36" i="3"/>
  <c r="M37" i="3"/>
  <c r="L31" i="3"/>
  <c r="L30" i="3"/>
  <c r="L26" i="3"/>
  <c r="M26" i="3"/>
  <c r="M27" i="3"/>
  <c r="L16" i="3"/>
  <c r="M16" i="3"/>
  <c r="L21" i="3"/>
  <c r="M21" i="3"/>
  <c r="M20" i="3"/>
  <c r="N32" i="3"/>
  <c r="K32" i="3"/>
  <c r="O31" i="3"/>
  <c r="N29" i="3"/>
  <c r="N30" i="3"/>
  <c r="K30" i="3"/>
  <c r="O16" i="3"/>
  <c r="O15" i="3"/>
  <c r="L61" i="3"/>
  <c r="M61" i="3"/>
  <c r="M62" i="3"/>
  <c r="K59" i="3"/>
  <c r="J143" i="5"/>
  <c r="Q59" i="3"/>
  <c r="L56" i="3"/>
  <c r="L54" i="3"/>
  <c r="I27" i="5"/>
  <c r="K54" i="3"/>
  <c r="Q54" i="3"/>
  <c r="M44" i="3"/>
  <c r="M39" i="3"/>
  <c r="M34" i="3"/>
  <c r="M29" i="3"/>
  <c r="K24" i="3"/>
  <c r="K19" i="3"/>
  <c r="N19" i="3"/>
  <c r="N22" i="3"/>
  <c r="K25" i="3"/>
  <c r="K20" i="3"/>
  <c r="N20" i="3"/>
  <c r="M15" i="3"/>
  <c r="M17" i="3"/>
  <c r="K14" i="3"/>
  <c r="M14" i="3"/>
  <c r="N27" i="3"/>
  <c r="O21" i="3"/>
  <c r="K47" i="3"/>
  <c r="K27" i="3"/>
  <c r="K15" i="3"/>
  <c r="G127" i="5"/>
  <c r="H127" i="5"/>
  <c r="I127" i="5"/>
  <c r="F125" i="5"/>
  <c r="F127" i="5"/>
  <c r="F129" i="5"/>
  <c r="F131" i="5"/>
  <c r="F133" i="5"/>
  <c r="F135" i="5"/>
  <c r="F137" i="5"/>
  <c r="D251" i="2"/>
  <c r="G125" i="5"/>
  <c r="H125" i="5"/>
  <c r="G129" i="5"/>
  <c r="H129" i="5"/>
  <c r="G131" i="5"/>
  <c r="H131" i="5"/>
  <c r="G133" i="5"/>
  <c r="H133" i="5"/>
  <c r="G135" i="5"/>
  <c r="H135" i="5"/>
  <c r="G137" i="5"/>
  <c r="H137" i="5"/>
  <c r="E251" i="2"/>
  <c r="F251" i="2"/>
  <c r="C5" i="3"/>
  <c r="I137" i="5"/>
  <c r="I135" i="5"/>
  <c r="I133" i="5"/>
  <c r="I131" i="5"/>
  <c r="I129" i="5"/>
  <c r="I125" i="5"/>
  <c r="F48" i="5"/>
  <c r="G48" i="5"/>
  <c r="H48" i="5"/>
  <c r="I48" i="5"/>
  <c r="J220" i="5"/>
  <c r="F49" i="5"/>
  <c r="G49" i="5"/>
  <c r="H49" i="5"/>
  <c r="I49" i="5"/>
  <c r="J49" i="5"/>
  <c r="K49" i="5"/>
  <c r="L49" i="5"/>
  <c r="M49" i="5"/>
  <c r="N49" i="5"/>
  <c r="O49" i="5"/>
  <c r="P49" i="5"/>
  <c r="Q49" i="5"/>
  <c r="R49" i="5"/>
  <c r="F50" i="5"/>
  <c r="F193" i="5"/>
  <c r="G50" i="5"/>
  <c r="G193" i="5"/>
  <c r="H50" i="5"/>
  <c r="H193" i="5"/>
  <c r="I50" i="5"/>
  <c r="I110" i="5"/>
  <c r="H110" i="5"/>
  <c r="G110" i="5"/>
  <c r="F110" i="5"/>
  <c r="I100" i="5"/>
  <c r="H100" i="5"/>
  <c r="G100" i="5"/>
  <c r="I99" i="5"/>
  <c r="H99" i="5"/>
  <c r="G99" i="5"/>
  <c r="I98" i="5"/>
  <c r="H98" i="5"/>
  <c r="G98" i="5"/>
  <c r="I92" i="5"/>
  <c r="H92" i="5"/>
  <c r="G92" i="5"/>
  <c r="I91" i="5"/>
  <c r="H91" i="5"/>
  <c r="G91" i="5"/>
  <c r="I90" i="5"/>
  <c r="H90" i="5"/>
  <c r="G90" i="5"/>
  <c r="I86" i="5"/>
  <c r="H86" i="5"/>
  <c r="G86" i="5"/>
  <c r="I85" i="5"/>
  <c r="H85" i="5"/>
  <c r="G85" i="5"/>
  <c r="I84" i="5"/>
  <c r="H84" i="5"/>
  <c r="G84" i="5"/>
  <c r="I83" i="5"/>
  <c r="H83" i="5"/>
  <c r="G83" i="5"/>
  <c r="F99" i="5"/>
  <c r="F100" i="5"/>
  <c r="F98" i="5"/>
  <c r="G145" i="2"/>
  <c r="F145" i="2"/>
  <c r="E145" i="2"/>
  <c r="D145" i="2"/>
  <c r="C145" i="2"/>
  <c r="F85" i="5"/>
  <c r="G123" i="2"/>
  <c r="F123" i="2"/>
  <c r="E123" i="2"/>
  <c r="D123" i="2"/>
  <c r="C123" i="2"/>
  <c r="F92" i="5"/>
  <c r="F91" i="5"/>
  <c r="F90" i="5"/>
  <c r="F86" i="5"/>
  <c r="F84" i="5"/>
  <c r="F83" i="5"/>
  <c r="C135" i="2"/>
  <c r="G160" i="2"/>
  <c r="I116" i="5"/>
  <c r="J114" i="5"/>
  <c r="J252" i="5"/>
  <c r="H116" i="5"/>
  <c r="G116" i="5"/>
  <c r="F116" i="5"/>
  <c r="I114" i="5"/>
  <c r="H114" i="5"/>
  <c r="G114" i="5"/>
  <c r="F114" i="5"/>
  <c r="N50" i="2"/>
  <c r="M50" i="2"/>
  <c r="L50" i="2"/>
  <c r="K50" i="2"/>
  <c r="I70" i="5"/>
  <c r="H70" i="5"/>
  <c r="G70" i="5"/>
  <c r="I69" i="5"/>
  <c r="J238" i="5"/>
  <c r="H69" i="5"/>
  <c r="G69" i="5"/>
  <c r="I63" i="5"/>
  <c r="I197" i="5"/>
  <c r="J197" i="5"/>
  <c r="H63" i="5"/>
  <c r="H197" i="5"/>
  <c r="G63" i="5"/>
  <c r="G197" i="5"/>
  <c r="I62" i="5"/>
  <c r="J272" i="5" a="1"/>
  <c r="J272" i="5"/>
  <c r="H62" i="5"/>
  <c r="G62" i="5"/>
  <c r="I58" i="5"/>
  <c r="I195" i="5"/>
  <c r="H58" i="5"/>
  <c r="H195" i="5"/>
  <c r="G58" i="5"/>
  <c r="G195" i="5"/>
  <c r="I57" i="5"/>
  <c r="J262" i="5"/>
  <c r="J387" i="5"/>
  <c r="H57" i="5"/>
  <c r="G57" i="5"/>
  <c r="I56" i="5"/>
  <c r="H56" i="5"/>
  <c r="G56" i="5"/>
  <c r="I44" i="5"/>
  <c r="I191" i="5" a="1"/>
  <c r="I191" i="5"/>
  <c r="H44" i="5"/>
  <c r="H191" i="5" a="1"/>
  <c r="H191" i="5"/>
  <c r="G44" i="5"/>
  <c r="G191" i="5" a="1"/>
  <c r="G191" i="5"/>
  <c r="I43" i="5"/>
  <c r="I189" i="5"/>
  <c r="H43" i="5"/>
  <c r="H189" i="5"/>
  <c r="G43" i="5"/>
  <c r="G189" i="5"/>
  <c r="I42" i="5"/>
  <c r="H42" i="5"/>
  <c r="G42" i="5"/>
  <c r="I41" i="5"/>
  <c r="H41" i="5"/>
  <c r="G41" i="5"/>
  <c r="F70" i="5"/>
  <c r="F69" i="5"/>
  <c r="F63" i="5"/>
  <c r="F197" i="5"/>
  <c r="F62" i="5"/>
  <c r="F58" i="5"/>
  <c r="F195" i="5"/>
  <c r="F57" i="5"/>
  <c r="F56" i="5"/>
  <c r="I61" i="2"/>
  <c r="F43" i="5"/>
  <c r="F189" i="5"/>
  <c r="F42" i="5"/>
  <c r="F41" i="5"/>
  <c r="F30" i="5"/>
  <c r="I30" i="5"/>
  <c r="I25" i="5"/>
  <c r="O227" i="6"/>
  <c r="I18" i="5"/>
  <c r="I14" i="5"/>
  <c r="I179" i="5"/>
  <c r="J105" i="3"/>
  <c r="I13" i="5"/>
  <c r="J83" i="3"/>
  <c r="H30" i="5"/>
  <c r="G30" i="5"/>
  <c r="H27" i="5"/>
  <c r="G27" i="5"/>
  <c r="F27" i="5"/>
  <c r="H25" i="5"/>
  <c r="N227" i="6"/>
  <c r="G25" i="5"/>
  <c r="M227" i="6"/>
  <c r="F25" i="5"/>
  <c r="L227" i="6"/>
  <c r="H18" i="5"/>
  <c r="G18" i="5"/>
  <c r="F18" i="5"/>
  <c r="H14" i="5"/>
  <c r="H179" i="5"/>
  <c r="I105" i="3"/>
  <c r="G14" i="5"/>
  <c r="G179" i="5"/>
  <c r="H102" i="3"/>
  <c r="F14" i="5"/>
  <c r="F179" i="5"/>
  <c r="G105" i="3"/>
  <c r="H13" i="5"/>
  <c r="I83" i="3"/>
  <c r="G13" i="5"/>
  <c r="H83" i="3"/>
  <c r="F13" i="5"/>
  <c r="G83" i="3"/>
  <c r="H130" i="5"/>
  <c r="I24" i="3"/>
  <c r="Q355" i="5"/>
  <c r="K355" i="5"/>
  <c r="G130" i="5"/>
  <c r="H24" i="3"/>
  <c r="I130" i="5"/>
  <c r="R325" i="5"/>
  <c r="R291" i="5"/>
  <c r="R249" i="5"/>
  <c r="R6" i="5"/>
  <c r="R199" i="5"/>
  <c r="K88" i="3"/>
  <c r="J161" i="5"/>
  <c r="L87" i="3"/>
  <c r="K93" i="3"/>
  <c r="J162" i="5"/>
  <c r="L92" i="3"/>
  <c r="H108" i="5"/>
  <c r="I108" i="5"/>
  <c r="P5" i="5"/>
  <c r="P7" i="5"/>
  <c r="N127" i="3"/>
  <c r="K127" i="3"/>
  <c r="M76" i="3"/>
  <c r="R241" i="6"/>
  <c r="F108" i="5"/>
  <c r="G108" i="5"/>
  <c r="R5" i="5"/>
  <c r="M108" i="3"/>
  <c r="R108" i="3"/>
  <c r="S108" i="3"/>
  <c r="J230" i="5"/>
  <c r="J212" i="5"/>
  <c r="J34" i="3"/>
  <c r="R110" i="3"/>
  <c r="S110" i="3"/>
  <c r="K97" i="5"/>
  <c r="N226" i="6"/>
  <c r="M226" i="6"/>
  <c r="L226" i="6"/>
  <c r="O226" i="6"/>
  <c r="Q127" i="3"/>
  <c r="O127" i="3"/>
  <c r="K128" i="3"/>
  <c r="P128" i="3"/>
  <c r="M128" i="3"/>
  <c r="Q128" i="3"/>
  <c r="N128" i="3"/>
  <c r="O128" i="3"/>
  <c r="K131" i="3"/>
  <c r="R341" i="5"/>
  <c r="Q131" i="3"/>
  <c r="P341" i="5"/>
  <c r="P131" i="3"/>
  <c r="O341" i="5"/>
  <c r="P127" i="3"/>
  <c r="O131" i="3"/>
  <c r="N341" i="5"/>
  <c r="N131" i="3"/>
  <c r="M341" i="5"/>
  <c r="M131" i="3"/>
  <c r="L341" i="5"/>
  <c r="K134" i="3"/>
  <c r="Q134" i="3"/>
  <c r="P355" i="5"/>
  <c r="P134" i="3"/>
  <c r="O355" i="5"/>
  <c r="O134" i="3"/>
  <c r="N355" i="5"/>
  <c r="L127" i="3"/>
  <c r="R307" i="5"/>
  <c r="K307" i="5"/>
  <c r="N134" i="3"/>
  <c r="M355" i="5"/>
  <c r="M127" i="3"/>
  <c r="M134" i="3"/>
  <c r="L355" i="5"/>
  <c r="J63" i="5"/>
  <c r="K197" i="5"/>
  <c r="I193" i="5"/>
  <c r="J193" i="5"/>
  <c r="L112" i="3"/>
  <c r="R112" i="3"/>
  <c r="M110" i="3"/>
  <c r="H110" i="3"/>
  <c r="I110" i="3"/>
  <c r="J110" i="3"/>
  <c r="G110" i="3"/>
  <c r="J79" i="3"/>
  <c r="I102" i="3"/>
  <c r="J102" i="3"/>
  <c r="I104" i="3"/>
  <c r="J104" i="3"/>
  <c r="F178" i="5"/>
  <c r="G103" i="3"/>
  <c r="G178" i="5"/>
  <c r="H103" i="3"/>
  <c r="H178" i="5"/>
  <c r="I103" i="3"/>
  <c r="I178" i="5"/>
  <c r="J103" i="3"/>
  <c r="H105" i="3"/>
  <c r="Q105" i="3"/>
  <c r="H104" i="3"/>
  <c r="G102" i="3"/>
  <c r="G108" i="3"/>
  <c r="G104" i="3"/>
  <c r="H108" i="3"/>
  <c r="I108" i="3"/>
  <c r="J108" i="3"/>
  <c r="J78" i="3"/>
  <c r="M73" i="3"/>
  <c r="I78" i="3"/>
  <c r="H78" i="3"/>
  <c r="K83" i="3"/>
  <c r="L83" i="3"/>
  <c r="R83" i="3"/>
  <c r="S83" i="3"/>
  <c r="G78" i="3"/>
  <c r="H126" i="5"/>
  <c r="I14" i="3"/>
  <c r="L81" i="3"/>
  <c r="L78" i="3"/>
  <c r="K167" i="5"/>
  <c r="M80" i="3"/>
  <c r="N80" i="3"/>
  <c r="K85" i="3"/>
  <c r="K90" i="3"/>
  <c r="M74" i="3"/>
  <c r="N75" i="3"/>
  <c r="S241" i="6"/>
  <c r="H134" i="5"/>
  <c r="I34" i="3"/>
  <c r="H128" i="5"/>
  <c r="I19" i="3"/>
  <c r="J142" i="5"/>
  <c r="J144" i="5"/>
  <c r="I128" i="5"/>
  <c r="H132" i="5"/>
  <c r="I29" i="3"/>
  <c r="H136" i="5"/>
  <c r="I39" i="3"/>
  <c r="N14" i="3"/>
  <c r="G68" i="3"/>
  <c r="H68" i="3"/>
  <c r="H73" i="3"/>
  <c r="I73" i="3"/>
  <c r="J68" i="3"/>
  <c r="I134" i="5"/>
  <c r="G128" i="5"/>
  <c r="H19" i="3"/>
  <c r="G73" i="3"/>
  <c r="I126" i="5"/>
  <c r="I136" i="5"/>
  <c r="H138" i="5"/>
  <c r="I44" i="3"/>
  <c r="I132" i="5"/>
  <c r="G132" i="5"/>
  <c r="H29" i="3"/>
  <c r="G126" i="5"/>
  <c r="H14" i="3"/>
  <c r="G138" i="5"/>
  <c r="H44" i="3"/>
  <c r="J73" i="3"/>
  <c r="K75" i="3"/>
  <c r="P241" i="6"/>
  <c r="G136" i="5"/>
  <c r="H39" i="3"/>
  <c r="I68" i="3"/>
  <c r="G134" i="5"/>
  <c r="H34" i="3"/>
  <c r="M56" i="3"/>
  <c r="N56" i="3"/>
  <c r="N55" i="3"/>
  <c r="L57" i="3"/>
  <c r="L55" i="3"/>
  <c r="L60" i="3"/>
  <c r="M60" i="3"/>
  <c r="L62" i="3"/>
  <c r="L45" i="3"/>
  <c r="M45" i="3"/>
  <c r="K91" i="3"/>
  <c r="L27" i="3"/>
  <c r="L42" i="3"/>
  <c r="L39" i="3"/>
  <c r="M42" i="3"/>
  <c r="L40" i="3"/>
  <c r="O40" i="3"/>
  <c r="L85" i="3"/>
  <c r="L35" i="3"/>
  <c r="O45" i="3"/>
  <c r="M35" i="3"/>
  <c r="L37" i="3"/>
  <c r="L47" i="3"/>
  <c r="N15" i="3"/>
  <c r="K86" i="3"/>
  <c r="O47" i="3"/>
  <c r="O37" i="3"/>
  <c r="N17" i="3"/>
  <c r="P36" i="3"/>
  <c r="Q36" i="3"/>
  <c r="J125" i="5"/>
  <c r="J126" i="5"/>
  <c r="N39" i="3"/>
  <c r="M31" i="3"/>
  <c r="L32" i="3"/>
  <c r="M25" i="3"/>
  <c r="M24" i="3"/>
  <c r="M19" i="3"/>
  <c r="M22" i="3"/>
  <c r="P16" i="3"/>
  <c r="P15" i="3"/>
  <c r="O17" i="3"/>
  <c r="J129" i="5"/>
  <c r="J130" i="5"/>
  <c r="J127" i="5"/>
  <c r="J128" i="5"/>
  <c r="P41" i="3"/>
  <c r="O39" i="3"/>
  <c r="L29" i="3"/>
  <c r="L34" i="3"/>
  <c r="O22" i="3"/>
  <c r="P21" i="3"/>
  <c r="O20" i="3"/>
  <c r="O19" i="3"/>
  <c r="P31" i="3"/>
  <c r="O29" i="3"/>
  <c r="O30" i="3"/>
  <c r="O32" i="3"/>
  <c r="L22" i="3"/>
  <c r="L19" i="3"/>
  <c r="L20" i="3"/>
  <c r="N61" i="3"/>
  <c r="M59" i="3"/>
  <c r="I138" i="5"/>
  <c r="K40" i="3"/>
  <c r="K39" i="3"/>
  <c r="J135" i="5"/>
  <c r="O14" i="3"/>
  <c r="F139" i="5"/>
  <c r="F146" i="5"/>
  <c r="N25" i="3"/>
  <c r="N24" i="3"/>
  <c r="L25" i="3"/>
  <c r="L24" i="3"/>
  <c r="K45" i="3"/>
  <c r="K37" i="3"/>
  <c r="K44" i="3"/>
  <c r="J137" i="5"/>
  <c r="O26" i="3"/>
  <c r="K17" i="3"/>
  <c r="K22" i="3"/>
  <c r="K29" i="3"/>
  <c r="J131" i="5"/>
  <c r="J132" i="5"/>
  <c r="O35" i="3"/>
  <c r="O34" i="3"/>
  <c r="L59" i="3"/>
  <c r="K143" i="5"/>
  <c r="K35" i="3"/>
  <c r="K34" i="3"/>
  <c r="J133" i="5"/>
  <c r="J134" i="5"/>
  <c r="G87" i="5"/>
  <c r="H87" i="5"/>
  <c r="I87" i="5"/>
  <c r="F93" i="5"/>
  <c r="G93" i="5"/>
  <c r="H93" i="5"/>
  <c r="I93" i="5"/>
  <c r="C147" i="2"/>
  <c r="F87" i="5"/>
  <c r="F71" i="5"/>
  <c r="F45" i="5"/>
  <c r="H71" i="5"/>
  <c r="G51" i="5"/>
  <c r="H51" i="5"/>
  <c r="I51" i="5"/>
  <c r="G64" i="5"/>
  <c r="I64" i="5"/>
  <c r="G45" i="5"/>
  <c r="G59" i="5"/>
  <c r="H45" i="5"/>
  <c r="H59" i="5"/>
  <c r="I45" i="5"/>
  <c r="G71" i="5"/>
  <c r="F64" i="5"/>
  <c r="H64" i="5"/>
  <c r="I59" i="5"/>
  <c r="I71" i="5"/>
  <c r="F59" i="5"/>
  <c r="F51" i="5"/>
  <c r="I15" i="5"/>
  <c r="I19" i="5"/>
  <c r="F15" i="5"/>
  <c r="G15" i="5"/>
  <c r="G19" i="5"/>
  <c r="H15" i="5"/>
  <c r="H19" i="5"/>
  <c r="K341" i="5"/>
  <c r="Q341" i="5"/>
  <c r="Q342" i="5"/>
  <c r="R342" i="5"/>
  <c r="R197" i="5"/>
  <c r="R63" i="5"/>
  <c r="Q197" i="5"/>
  <c r="Q212" i="5"/>
  <c r="M92" i="3"/>
  <c r="K162" i="5"/>
  <c r="M87" i="3"/>
  <c r="K161" i="5"/>
  <c r="M307" i="5"/>
  <c r="N108" i="3"/>
  <c r="N44" i="6"/>
  <c r="R97" i="5"/>
  <c r="K240" i="5"/>
  <c r="S112" i="3"/>
  <c r="O307" i="5"/>
  <c r="N307" i="5"/>
  <c r="L307" i="5"/>
  <c r="P307" i="5"/>
  <c r="I23" i="5"/>
  <c r="I28" i="5"/>
  <c r="O228" i="6"/>
  <c r="O235" i="6"/>
  <c r="H23" i="5"/>
  <c r="H28" i="5"/>
  <c r="N228" i="6"/>
  <c r="N235" i="6"/>
  <c r="G23" i="5"/>
  <c r="G28" i="5"/>
  <c r="M228" i="6"/>
  <c r="M235" i="6"/>
  <c r="Q104" i="3"/>
  <c r="L197" i="5"/>
  <c r="L63" i="5"/>
  <c r="K63" i="5"/>
  <c r="K212" i="5"/>
  <c r="M112" i="3"/>
  <c r="N112" i="3"/>
  <c r="J112" i="3"/>
  <c r="G112" i="3"/>
  <c r="I112" i="3"/>
  <c r="H112" i="3"/>
  <c r="M83" i="3"/>
  <c r="N110" i="3"/>
  <c r="Q103" i="3"/>
  <c r="Q102" i="3"/>
  <c r="M105" i="3"/>
  <c r="M55" i="3"/>
  <c r="N57" i="3"/>
  <c r="M57" i="3"/>
  <c r="F19" i="5"/>
  <c r="N78" i="3"/>
  <c r="M167" i="5"/>
  <c r="N81" i="3"/>
  <c r="M79" i="3"/>
  <c r="M81" i="3"/>
  <c r="M78" i="3"/>
  <c r="L167" i="5"/>
  <c r="O75" i="3"/>
  <c r="T241" i="6"/>
  <c r="N73" i="3"/>
  <c r="N74" i="3"/>
  <c r="N76" i="3"/>
  <c r="L93" i="3"/>
  <c r="L90" i="3"/>
  <c r="K76" i="3"/>
  <c r="K74" i="3"/>
  <c r="K73" i="3"/>
  <c r="O80" i="3"/>
  <c r="N79" i="3"/>
  <c r="K70" i="3"/>
  <c r="K142" i="5"/>
  <c r="K144" i="5"/>
  <c r="H139" i="5"/>
  <c r="H146" i="5"/>
  <c r="L143" i="5"/>
  <c r="L91" i="3"/>
  <c r="O56" i="3"/>
  <c r="O55" i="3"/>
  <c r="K135" i="5"/>
  <c r="J136" i="5"/>
  <c r="N54" i="3"/>
  <c r="M54" i="3"/>
  <c r="J139" i="5"/>
  <c r="J146" i="5"/>
  <c r="J138" i="5"/>
  <c r="I139" i="5"/>
  <c r="I146" i="5"/>
  <c r="G139" i="5"/>
  <c r="G146" i="5"/>
  <c r="G148" i="5"/>
  <c r="N62" i="3"/>
  <c r="N60" i="3"/>
  <c r="P37" i="3"/>
  <c r="P35" i="3"/>
  <c r="P34" i="3"/>
  <c r="P17" i="3"/>
  <c r="L88" i="3"/>
  <c r="L86" i="3"/>
  <c r="P14" i="3"/>
  <c r="P40" i="3"/>
  <c r="P42" i="3"/>
  <c r="K133" i="5"/>
  <c r="M30" i="3"/>
  <c r="M32" i="3"/>
  <c r="K127" i="5"/>
  <c r="K129" i="5"/>
  <c r="K130" i="5"/>
  <c r="K131" i="5"/>
  <c r="Q16" i="3"/>
  <c r="Q17" i="3"/>
  <c r="P32" i="3"/>
  <c r="Q31" i="3"/>
  <c r="P29" i="3"/>
  <c r="P30" i="3"/>
  <c r="L15" i="3"/>
  <c r="L14" i="3"/>
  <c r="K125" i="5"/>
  <c r="K126" i="5"/>
  <c r="L17" i="3"/>
  <c r="P19" i="3"/>
  <c r="P20" i="3"/>
  <c r="P22" i="3"/>
  <c r="Q21" i="3"/>
  <c r="O44" i="3"/>
  <c r="P46" i="3"/>
  <c r="L44" i="3"/>
  <c r="K137" i="5"/>
  <c r="O61" i="3"/>
  <c r="N59" i="3"/>
  <c r="O27" i="3"/>
  <c r="P26" i="3"/>
  <c r="O24" i="3"/>
  <c r="O25" i="3"/>
  <c r="Q34" i="3"/>
  <c r="Q35" i="3"/>
  <c r="Q37" i="3"/>
  <c r="P39" i="3"/>
  <c r="Q41" i="3"/>
  <c r="I115" i="5"/>
  <c r="H115" i="5"/>
  <c r="G115" i="5"/>
  <c r="F115" i="5"/>
  <c r="F53" i="5"/>
  <c r="I53" i="5"/>
  <c r="H66" i="5"/>
  <c r="H73" i="5"/>
  <c r="G53" i="5"/>
  <c r="H53" i="5"/>
  <c r="I66" i="5"/>
  <c r="I73" i="5"/>
  <c r="G66" i="5"/>
  <c r="G73" i="5"/>
  <c r="F66" i="5"/>
  <c r="F73" i="5"/>
  <c r="J106" i="3"/>
  <c r="I106" i="3"/>
  <c r="H106" i="3"/>
  <c r="G106" i="3"/>
  <c r="R212" i="5"/>
  <c r="Q63" i="5"/>
  <c r="N87" i="3"/>
  <c r="M86" i="3"/>
  <c r="L161" i="5"/>
  <c r="M88" i="3"/>
  <c r="M85" i="3"/>
  <c r="M90" i="3"/>
  <c r="N92" i="3"/>
  <c r="L162" i="5"/>
  <c r="M93" i="3"/>
  <c r="M91" i="3"/>
  <c r="O108" i="3"/>
  <c r="O44" i="6"/>
  <c r="H31" i="5"/>
  <c r="N229" i="6"/>
  <c r="N234" i="6"/>
  <c r="G31" i="5"/>
  <c r="M229" i="6"/>
  <c r="M234" i="6"/>
  <c r="I31" i="5"/>
  <c r="O229" i="6"/>
  <c r="O234" i="6"/>
  <c r="F23" i="5"/>
  <c r="F28" i="5"/>
  <c r="L228" i="6"/>
  <c r="L235" i="6"/>
  <c r="M197" i="5"/>
  <c r="M63" i="5"/>
  <c r="L212" i="5"/>
  <c r="J168" i="5"/>
  <c r="J18" i="5"/>
  <c r="F34" i="1"/>
  <c r="J13" i="5"/>
  <c r="J50" i="5"/>
  <c r="K193" i="5"/>
  <c r="J210" i="5"/>
  <c r="O112" i="3"/>
  <c r="N83" i="3"/>
  <c r="O110" i="3"/>
  <c r="M102" i="3"/>
  <c r="M103" i="3"/>
  <c r="N105" i="3"/>
  <c r="M104" i="3"/>
  <c r="K163" i="5"/>
  <c r="J163" i="5"/>
  <c r="J158" i="5"/>
  <c r="J159" i="5"/>
  <c r="P158" i="5"/>
  <c r="O158" i="5"/>
  <c r="M158" i="5"/>
  <c r="N158" i="5"/>
  <c r="L158" i="5"/>
  <c r="K158" i="5"/>
  <c r="O78" i="3"/>
  <c r="N167" i="5"/>
  <c r="O81" i="3"/>
  <c r="L70" i="3"/>
  <c r="L68" i="3"/>
  <c r="K155" i="5"/>
  <c r="K68" i="3"/>
  <c r="J155" i="5"/>
  <c r="P80" i="3"/>
  <c r="O79" i="3"/>
  <c r="P75" i="3"/>
  <c r="U241" i="6"/>
  <c r="O74" i="3"/>
  <c r="O73" i="3"/>
  <c r="O76" i="3"/>
  <c r="K71" i="3"/>
  <c r="K69" i="3"/>
  <c r="L142" i="5"/>
  <c r="L144" i="5"/>
  <c r="I148" i="5"/>
  <c r="J148" i="5"/>
  <c r="H148" i="5"/>
  <c r="O57" i="3"/>
  <c r="M143" i="5"/>
  <c r="L135" i="5"/>
  <c r="K136" i="5"/>
  <c r="L131" i="5"/>
  <c r="K132" i="5"/>
  <c r="O54" i="3"/>
  <c r="P56" i="3"/>
  <c r="L129" i="5"/>
  <c r="L130" i="5"/>
  <c r="L137" i="5"/>
  <c r="K138" i="5"/>
  <c r="K139" i="5"/>
  <c r="K146" i="5"/>
  <c r="K13" i="5"/>
  <c r="L127" i="5"/>
  <c r="K128" i="5"/>
  <c r="L133" i="5"/>
  <c r="K134" i="5"/>
  <c r="O62" i="3"/>
  <c r="O60" i="3"/>
  <c r="Q14" i="3"/>
  <c r="P47" i="3"/>
  <c r="P45" i="3"/>
  <c r="Q42" i="3"/>
  <c r="Q40" i="3"/>
  <c r="Q15" i="3"/>
  <c r="P44" i="3"/>
  <c r="Q46" i="3"/>
  <c r="L125" i="5"/>
  <c r="Q32" i="3"/>
  <c r="Q29" i="3"/>
  <c r="Q30" i="3"/>
  <c r="Q39" i="3"/>
  <c r="Q19" i="3"/>
  <c r="Q20" i="3"/>
  <c r="Q22" i="3"/>
  <c r="P61" i="3"/>
  <c r="O59" i="3"/>
  <c r="P27" i="3"/>
  <c r="P24" i="3"/>
  <c r="Q26" i="3"/>
  <c r="P25" i="3"/>
  <c r="F75" i="5"/>
  <c r="H75" i="5"/>
  <c r="G75" i="5"/>
  <c r="I75" i="5"/>
  <c r="R193" i="5"/>
  <c r="R50" i="5"/>
  <c r="Q193" i="5"/>
  <c r="L163" i="5"/>
  <c r="K136" i="3"/>
  <c r="J258" i="5"/>
  <c r="N90" i="3"/>
  <c r="M162" i="5"/>
  <c r="N91" i="3"/>
  <c r="O92" i="3"/>
  <c r="N93" i="3"/>
  <c r="O87" i="3"/>
  <c r="M161" i="5"/>
  <c r="N86" i="3"/>
  <c r="N88" i="3"/>
  <c r="N85" i="3"/>
  <c r="P108" i="3"/>
  <c r="Q44" i="6"/>
  <c r="P44" i="6"/>
  <c r="J222" i="5"/>
  <c r="J22" i="5"/>
  <c r="J84" i="5"/>
  <c r="R13" i="5"/>
  <c r="R222" i="5"/>
  <c r="Q13" i="5"/>
  <c r="K50" i="5"/>
  <c r="F31" i="5"/>
  <c r="L229" i="6"/>
  <c r="L234" i="6"/>
  <c r="M212" i="5"/>
  <c r="N197" i="5"/>
  <c r="N63" i="5"/>
  <c r="K210" i="5"/>
  <c r="L193" i="5"/>
  <c r="P112" i="3"/>
  <c r="K178" i="5"/>
  <c r="K222" i="5"/>
  <c r="K22" i="5"/>
  <c r="O83" i="3"/>
  <c r="P110" i="3"/>
  <c r="N104" i="3"/>
  <c r="O105" i="3"/>
  <c r="N103" i="3"/>
  <c r="N102" i="3"/>
  <c r="J165" i="5"/>
  <c r="J17" i="5"/>
  <c r="P242" i="6"/>
  <c r="J178" i="5"/>
  <c r="K156" i="5"/>
  <c r="K14" i="5"/>
  <c r="L71" i="3"/>
  <c r="M70" i="3"/>
  <c r="M68" i="3"/>
  <c r="L155" i="5"/>
  <c r="L69" i="3"/>
  <c r="K148" i="5"/>
  <c r="K168" i="5"/>
  <c r="K159" i="5"/>
  <c r="K165" i="5"/>
  <c r="K17" i="5"/>
  <c r="Q242" i="6"/>
  <c r="P79" i="3"/>
  <c r="P78" i="3"/>
  <c r="O167" i="5"/>
  <c r="P81" i="3"/>
  <c r="J156" i="5"/>
  <c r="J14" i="5"/>
  <c r="P74" i="3"/>
  <c r="P73" i="3"/>
  <c r="P76" i="3"/>
  <c r="M142" i="5"/>
  <c r="M144" i="5"/>
  <c r="N143" i="5"/>
  <c r="M127" i="5"/>
  <c r="L128" i="5"/>
  <c r="P55" i="3"/>
  <c r="P54" i="3"/>
  <c r="P57" i="3"/>
  <c r="M129" i="5"/>
  <c r="M130" i="5"/>
  <c r="L126" i="5"/>
  <c r="M125" i="5"/>
  <c r="M126" i="5"/>
  <c r="M131" i="5"/>
  <c r="L132" i="5"/>
  <c r="M133" i="5"/>
  <c r="L134" i="5"/>
  <c r="M137" i="5"/>
  <c r="L139" i="5"/>
  <c r="L146" i="5"/>
  <c r="L13" i="5"/>
  <c r="L138" i="5"/>
  <c r="L136" i="5"/>
  <c r="M135" i="5"/>
  <c r="P59" i="3"/>
  <c r="P62" i="3"/>
  <c r="P60" i="3"/>
  <c r="Q47" i="3"/>
  <c r="Q45" i="3"/>
  <c r="Q27" i="3"/>
  <c r="Q25" i="3"/>
  <c r="Q24" i="3"/>
  <c r="Q44" i="3"/>
  <c r="G44" i="1"/>
  <c r="C46" i="1"/>
  <c r="G46" i="1"/>
  <c r="G199" i="2"/>
  <c r="G200" i="2"/>
  <c r="G198" i="2"/>
  <c r="P28" i="1"/>
  <c r="C45" i="1"/>
  <c r="G45" i="1"/>
  <c r="C29" i="1"/>
  <c r="G28" i="6"/>
  <c r="M163" i="5"/>
  <c r="P87" i="3"/>
  <c r="N161" i="5"/>
  <c r="O88" i="3"/>
  <c r="O86" i="3"/>
  <c r="O85" i="3"/>
  <c r="N162" i="5"/>
  <c r="P92" i="3"/>
  <c r="O93" i="3"/>
  <c r="O90" i="3"/>
  <c r="O91" i="3"/>
  <c r="M28" i="1"/>
  <c r="R210" i="5"/>
  <c r="Q50" i="5"/>
  <c r="Q17" i="5"/>
  <c r="R17" i="5"/>
  <c r="R14" i="5"/>
  <c r="R179" i="5"/>
  <c r="Q14" i="5"/>
  <c r="Q222" i="5"/>
  <c r="Q178" i="5"/>
  <c r="Q22" i="5"/>
  <c r="R22" i="5"/>
  <c r="K195" i="5"/>
  <c r="K191" i="5"/>
  <c r="K181" i="5"/>
  <c r="R178" i="5"/>
  <c r="R221" i="5"/>
  <c r="R90" i="5"/>
  <c r="R93" i="5"/>
  <c r="K18" i="5"/>
  <c r="O28" i="1"/>
  <c r="K325" i="5"/>
  <c r="K291" i="5"/>
  <c r="N212" i="5"/>
  <c r="O197" i="5"/>
  <c r="O63" i="5"/>
  <c r="J221" i="5"/>
  <c r="L43" i="6"/>
  <c r="J195" i="5"/>
  <c r="J191" i="5"/>
  <c r="L210" i="5"/>
  <c r="L50" i="5"/>
  <c r="K189" i="5"/>
  <c r="M193" i="5"/>
  <c r="M50" i="5"/>
  <c r="L178" i="5"/>
  <c r="L195" i="5"/>
  <c r="L222" i="5"/>
  <c r="L22" i="5"/>
  <c r="K221" i="5"/>
  <c r="P83" i="3"/>
  <c r="O103" i="3"/>
  <c r="O102" i="3"/>
  <c r="J181" i="5"/>
  <c r="J189" i="5"/>
  <c r="J204" i="5"/>
  <c r="P105" i="3"/>
  <c r="O104" i="3"/>
  <c r="K179" i="5"/>
  <c r="K15" i="5"/>
  <c r="J15" i="5"/>
  <c r="J19" i="5"/>
  <c r="J179" i="5"/>
  <c r="N70" i="3"/>
  <c r="N68" i="3"/>
  <c r="M155" i="5"/>
  <c r="M69" i="3"/>
  <c r="M71" i="3"/>
  <c r="L148" i="5"/>
  <c r="L168" i="5"/>
  <c r="L18" i="5"/>
  <c r="M136" i="3"/>
  <c r="L159" i="5"/>
  <c r="L165" i="5"/>
  <c r="L17" i="5"/>
  <c r="R242" i="6"/>
  <c r="L156" i="5"/>
  <c r="L14" i="5"/>
  <c r="N142" i="5"/>
  <c r="N144" i="5"/>
  <c r="O143" i="5"/>
  <c r="P143" i="5"/>
  <c r="N133" i="5"/>
  <c r="M134" i="5"/>
  <c r="N129" i="5"/>
  <c r="N130" i="5"/>
  <c r="N131" i="5"/>
  <c r="M132" i="5"/>
  <c r="N135" i="5"/>
  <c r="M136" i="5"/>
  <c r="N137" i="5"/>
  <c r="M138" i="5"/>
  <c r="M139" i="5"/>
  <c r="M146" i="5"/>
  <c r="M13" i="5"/>
  <c r="N125" i="5"/>
  <c r="N126" i="5"/>
  <c r="N127" i="5"/>
  <c r="M128" i="5"/>
  <c r="G202" i="2"/>
  <c r="G207" i="2"/>
  <c r="G166" i="2"/>
  <c r="G164" i="2"/>
  <c r="G165" i="2"/>
  <c r="K58" i="5"/>
  <c r="R195" i="5"/>
  <c r="R58" i="5"/>
  <c r="Q195" i="5"/>
  <c r="K44" i="5"/>
  <c r="R191" i="5"/>
  <c r="R44" i="5"/>
  <c r="Q191" i="5"/>
  <c r="Q44" i="5"/>
  <c r="K43" i="5"/>
  <c r="R189" i="5"/>
  <c r="R43" i="5"/>
  <c r="Q189" i="5"/>
  <c r="R295" i="5"/>
  <c r="K295" i="5"/>
  <c r="R254" i="5"/>
  <c r="R181" i="5"/>
  <c r="Q181" i="5"/>
  <c r="L299" i="5"/>
  <c r="R258" i="5"/>
  <c r="Q84" i="5"/>
  <c r="N163" i="5"/>
  <c r="O162" i="5"/>
  <c r="P93" i="3"/>
  <c r="P90" i="3"/>
  <c r="P91" i="3"/>
  <c r="Q92" i="3"/>
  <c r="Q87" i="3"/>
  <c r="O161" i="5"/>
  <c r="P88" i="3"/>
  <c r="P85" i="3"/>
  <c r="P86" i="3"/>
  <c r="J23" i="5"/>
  <c r="L41" i="6"/>
  <c r="L51" i="6"/>
  <c r="K90" i="5"/>
  <c r="K93" i="5"/>
  <c r="M43" i="6"/>
  <c r="J211" i="5"/>
  <c r="J58" i="5"/>
  <c r="Q179" i="5"/>
  <c r="Q15" i="5"/>
  <c r="L136" i="3"/>
  <c r="Q258" i="5"/>
  <c r="K258" i="5"/>
  <c r="R18" i="5"/>
  <c r="Q18" i="5"/>
  <c r="Q221" i="5"/>
  <c r="Q90" i="5"/>
  <c r="Q93" i="5"/>
  <c r="Q254" i="5"/>
  <c r="K254" i="5"/>
  <c r="J44" i="5"/>
  <c r="K209" i="5"/>
  <c r="R15" i="5"/>
  <c r="K19" i="5"/>
  <c r="O212" i="5"/>
  <c r="P197" i="5"/>
  <c r="P63" i="5"/>
  <c r="K211" i="5"/>
  <c r="J209" i="5"/>
  <c r="M210" i="5"/>
  <c r="L211" i="5"/>
  <c r="L58" i="5"/>
  <c r="J223" i="5"/>
  <c r="J90" i="5"/>
  <c r="J93" i="5"/>
  <c r="J254" i="5"/>
  <c r="N193" i="5"/>
  <c r="N50" i="5"/>
  <c r="M178" i="5"/>
  <c r="M195" i="5"/>
  <c r="M222" i="5"/>
  <c r="M22" i="5"/>
  <c r="L221" i="5"/>
  <c r="L189" i="5"/>
  <c r="L191" i="5"/>
  <c r="L44" i="5"/>
  <c r="L181" i="5"/>
  <c r="L179" i="5"/>
  <c r="L15" i="5"/>
  <c r="L19" i="5"/>
  <c r="N41" i="6"/>
  <c r="N51" i="6"/>
  <c r="J43" i="5"/>
  <c r="K204" i="5"/>
  <c r="J185" i="5"/>
  <c r="J182" i="5"/>
  <c r="J186" i="5"/>
  <c r="K182" i="5"/>
  <c r="K186" i="5"/>
  <c r="K185" i="5"/>
  <c r="P102" i="3"/>
  <c r="P104" i="3"/>
  <c r="P103" i="3"/>
  <c r="N69" i="3"/>
  <c r="O70" i="3"/>
  <c r="O68" i="3"/>
  <c r="N155" i="5"/>
  <c r="N71" i="3"/>
  <c r="M148" i="5"/>
  <c r="M168" i="5"/>
  <c r="M18" i="5"/>
  <c r="N136" i="3"/>
  <c r="M299" i="5"/>
  <c r="M159" i="5"/>
  <c r="M165" i="5"/>
  <c r="M17" i="5"/>
  <c r="S242" i="6"/>
  <c r="M156" i="5"/>
  <c r="M14" i="5"/>
  <c r="O142" i="5"/>
  <c r="O144" i="5"/>
  <c r="O125" i="5"/>
  <c r="O126" i="5"/>
  <c r="N136" i="5"/>
  <c r="O135" i="5"/>
  <c r="N128" i="5"/>
  <c r="O127" i="5"/>
  <c r="N138" i="5"/>
  <c r="N139" i="5"/>
  <c r="N146" i="5"/>
  <c r="N13" i="5"/>
  <c r="O137" i="5"/>
  <c r="O129" i="5"/>
  <c r="O130" i="5"/>
  <c r="N132" i="5"/>
  <c r="O131" i="5"/>
  <c r="O133" i="5"/>
  <c r="N134" i="5"/>
  <c r="G206" i="2"/>
  <c r="G208" i="2"/>
  <c r="G209" i="2"/>
  <c r="G251" i="2"/>
  <c r="G167" i="2"/>
  <c r="R185" i="5"/>
  <c r="Q185" i="5"/>
  <c r="R186" i="5"/>
  <c r="Q186" i="5"/>
  <c r="R182" i="5"/>
  <c r="Q182" i="5"/>
  <c r="Q183" i="5"/>
  <c r="Q42" i="5"/>
  <c r="O163" i="5"/>
  <c r="P162" i="5"/>
  <c r="Q91" i="3"/>
  <c r="Q93" i="3"/>
  <c r="Q90" i="3"/>
  <c r="P161" i="5"/>
  <c r="Q85" i="3"/>
  <c r="Q86" i="3"/>
  <c r="Q88" i="3"/>
  <c r="L90" i="5"/>
  <c r="L93" i="5"/>
  <c r="L295" i="5"/>
  <c r="N43" i="6"/>
  <c r="K23" i="5"/>
  <c r="M41" i="6"/>
  <c r="M51" i="6"/>
  <c r="J213" i="5"/>
  <c r="J86" i="5"/>
  <c r="J48" i="5"/>
  <c r="K220" i="5"/>
  <c r="K223" i="5"/>
  <c r="K48" i="5"/>
  <c r="L220" i="5"/>
  <c r="L223" i="5"/>
  <c r="L48" i="5"/>
  <c r="Q220" i="5"/>
  <c r="R19" i="5"/>
  <c r="R23" i="5"/>
  <c r="R299" i="5"/>
  <c r="K299" i="5"/>
  <c r="Q211" i="5"/>
  <c r="Q58" i="5"/>
  <c r="Q204" i="5"/>
  <c r="Q43" i="5"/>
  <c r="Q19" i="5"/>
  <c r="R209" i="5"/>
  <c r="R211" i="5"/>
  <c r="Q209" i="5"/>
  <c r="K183" i="5"/>
  <c r="K42" i="5"/>
  <c r="R183" i="5"/>
  <c r="R42" i="5"/>
  <c r="R204" i="5"/>
  <c r="J183" i="5"/>
  <c r="J205" i="5"/>
  <c r="K405" i="5"/>
  <c r="L23" i="5"/>
  <c r="L405" i="5"/>
  <c r="P212" i="5"/>
  <c r="K213" i="5"/>
  <c r="K86" i="5"/>
  <c r="M211" i="5"/>
  <c r="M58" i="5"/>
  <c r="L204" i="5"/>
  <c r="L43" i="5"/>
  <c r="O193" i="5"/>
  <c r="N210" i="5"/>
  <c r="L209" i="5"/>
  <c r="L213" i="5"/>
  <c r="L86" i="5"/>
  <c r="N178" i="5"/>
  <c r="N195" i="5"/>
  <c r="N222" i="5"/>
  <c r="N22" i="5"/>
  <c r="M221" i="5"/>
  <c r="M189" i="5"/>
  <c r="M191" i="5"/>
  <c r="M44" i="5"/>
  <c r="M181" i="5"/>
  <c r="M179" i="5"/>
  <c r="M15" i="5"/>
  <c r="M19" i="5"/>
  <c r="O41" i="6"/>
  <c r="O51" i="6"/>
  <c r="L182" i="5"/>
  <c r="L183" i="5"/>
  <c r="L186" i="5"/>
  <c r="L185" i="5"/>
  <c r="K187" i="5"/>
  <c r="K56" i="5"/>
  <c r="J187" i="5"/>
  <c r="J206" i="5"/>
  <c r="O71" i="3"/>
  <c r="O69" i="3"/>
  <c r="P70" i="3"/>
  <c r="P68" i="3"/>
  <c r="O155" i="5"/>
  <c r="N148" i="5"/>
  <c r="N168" i="5"/>
  <c r="N18" i="5"/>
  <c r="O136" i="3"/>
  <c r="N299" i="5"/>
  <c r="N159" i="5"/>
  <c r="N165" i="5"/>
  <c r="N17" i="5"/>
  <c r="T242" i="6"/>
  <c r="N156" i="5"/>
  <c r="N14" i="5"/>
  <c r="P142" i="5"/>
  <c r="P144" i="5"/>
  <c r="P125" i="5"/>
  <c r="P126" i="5"/>
  <c r="O132" i="5"/>
  <c r="P131" i="5"/>
  <c r="P132" i="5"/>
  <c r="O134" i="5"/>
  <c r="P133" i="5"/>
  <c r="P134" i="5"/>
  <c r="O138" i="5"/>
  <c r="O139" i="5"/>
  <c r="O146" i="5"/>
  <c r="O13" i="5"/>
  <c r="P137" i="5"/>
  <c r="O136" i="5"/>
  <c r="P135" i="5"/>
  <c r="P136" i="5"/>
  <c r="P129" i="5"/>
  <c r="P130" i="5"/>
  <c r="O128" i="5"/>
  <c r="P127" i="5"/>
  <c r="P128" i="5"/>
  <c r="G210" i="2"/>
  <c r="R187" i="5"/>
  <c r="R56" i="5"/>
  <c r="C10" i="1"/>
  <c r="G10" i="1"/>
  <c r="N9" i="6"/>
  <c r="K51" i="5"/>
  <c r="P163" i="5"/>
  <c r="M90" i="5"/>
  <c r="M93" i="5"/>
  <c r="M295" i="5"/>
  <c r="O43" i="6"/>
  <c r="J51" i="5"/>
  <c r="Q187" i="5"/>
  <c r="Q56" i="5"/>
  <c r="Q23" i="5"/>
  <c r="R213" i="5"/>
  <c r="R86" i="5"/>
  <c r="R205" i="5"/>
  <c r="Q205" i="5"/>
  <c r="J207" i="5"/>
  <c r="J85" i="5"/>
  <c r="K205" i="5"/>
  <c r="J42" i="5"/>
  <c r="M23" i="5"/>
  <c r="M405" i="5"/>
  <c r="L205" i="5"/>
  <c r="L42" i="5"/>
  <c r="M204" i="5"/>
  <c r="M43" i="5"/>
  <c r="N211" i="5"/>
  <c r="N58" i="5"/>
  <c r="O210" i="5"/>
  <c r="O50" i="5"/>
  <c r="L51" i="5"/>
  <c r="M220" i="5"/>
  <c r="M223" i="5"/>
  <c r="M48" i="5"/>
  <c r="L187" i="5"/>
  <c r="P193" i="5"/>
  <c r="Q210" i="5"/>
  <c r="Q213" i="5"/>
  <c r="Q86" i="5"/>
  <c r="M209" i="5"/>
  <c r="M213" i="5"/>
  <c r="M86" i="5"/>
  <c r="J56" i="5"/>
  <c r="O178" i="5"/>
  <c r="O195" i="5"/>
  <c r="O222" i="5"/>
  <c r="O22" i="5"/>
  <c r="N221" i="5"/>
  <c r="N189" i="5"/>
  <c r="N191" i="5"/>
  <c r="N44" i="5"/>
  <c r="N181" i="5"/>
  <c r="N179" i="5"/>
  <c r="N15" i="5"/>
  <c r="N19" i="5"/>
  <c r="P41" i="6"/>
  <c r="P51" i="6"/>
  <c r="M182" i="5"/>
  <c r="M183" i="5"/>
  <c r="M186" i="5"/>
  <c r="M185" i="5"/>
  <c r="K206" i="5"/>
  <c r="P71" i="3"/>
  <c r="P69" i="3"/>
  <c r="O148" i="5"/>
  <c r="O168" i="5"/>
  <c r="O18" i="5"/>
  <c r="P136" i="3"/>
  <c r="O299" i="5"/>
  <c r="O159" i="5"/>
  <c r="O165" i="5"/>
  <c r="O17" i="5"/>
  <c r="U242" i="6"/>
  <c r="O156" i="5"/>
  <c r="O14" i="5"/>
  <c r="P138" i="5"/>
  <c r="P139" i="5"/>
  <c r="P146" i="5"/>
  <c r="P13" i="5"/>
  <c r="U119" i="6"/>
  <c r="G11" i="1"/>
  <c r="N10" i="6"/>
  <c r="G9" i="1"/>
  <c r="N8" i="6"/>
  <c r="G9" i="6"/>
  <c r="N90" i="5"/>
  <c r="N93" i="5"/>
  <c r="N295" i="5"/>
  <c r="P43" i="6"/>
  <c r="R206" i="5"/>
  <c r="R207" i="5"/>
  <c r="R85" i="5"/>
  <c r="Q206" i="5"/>
  <c r="Q207" i="5"/>
  <c r="Q85" i="5"/>
  <c r="K207" i="5"/>
  <c r="K85" i="5"/>
  <c r="N23" i="5"/>
  <c r="N405" i="5"/>
  <c r="N204" i="5"/>
  <c r="N43" i="5"/>
  <c r="L206" i="5"/>
  <c r="L207" i="5"/>
  <c r="L85" i="5"/>
  <c r="L56" i="5"/>
  <c r="O211" i="5"/>
  <c r="O58" i="5"/>
  <c r="M205" i="5"/>
  <c r="M42" i="5"/>
  <c r="P210" i="5"/>
  <c r="P50" i="5"/>
  <c r="M51" i="5"/>
  <c r="N220" i="5"/>
  <c r="N223" i="5"/>
  <c r="N48" i="5"/>
  <c r="N209" i="5"/>
  <c r="N213" i="5"/>
  <c r="N86" i="5"/>
  <c r="M187" i="5"/>
  <c r="P222" i="5"/>
  <c r="P22" i="5"/>
  <c r="P178" i="5"/>
  <c r="P195" i="5"/>
  <c r="O221" i="5"/>
  <c r="O189" i="5"/>
  <c r="O191" i="5"/>
  <c r="O44" i="5"/>
  <c r="O181" i="5"/>
  <c r="O15" i="5"/>
  <c r="O19" i="5"/>
  <c r="Q41" i="6"/>
  <c r="Q51" i="6"/>
  <c r="O179" i="5"/>
  <c r="N182" i="5"/>
  <c r="N183" i="5"/>
  <c r="N186" i="5"/>
  <c r="N185" i="5"/>
  <c r="P148" i="5"/>
  <c r="P156" i="5"/>
  <c r="P14" i="5"/>
  <c r="P179" i="5"/>
  <c r="P168" i="5"/>
  <c r="P18" i="5"/>
  <c r="Q136" i="3"/>
  <c r="P299" i="5"/>
  <c r="P159" i="5"/>
  <c r="P165" i="5"/>
  <c r="P17" i="5"/>
  <c r="V242" i="6"/>
  <c r="O90" i="5"/>
  <c r="O93" i="5"/>
  <c r="O295" i="5"/>
  <c r="Q43" i="6"/>
  <c r="O23" i="5"/>
  <c r="O405" i="5"/>
  <c r="M206" i="5"/>
  <c r="M207" i="5"/>
  <c r="M85" i="5"/>
  <c r="M56" i="5"/>
  <c r="O204" i="5"/>
  <c r="O43" i="5"/>
  <c r="P211" i="5"/>
  <c r="P58" i="5"/>
  <c r="N205" i="5"/>
  <c r="N42" i="5"/>
  <c r="O220" i="5"/>
  <c r="O223" i="5"/>
  <c r="O48" i="5"/>
  <c r="N51" i="5"/>
  <c r="O209" i="5"/>
  <c r="O213" i="5"/>
  <c r="O86" i="5"/>
  <c r="P182" i="5"/>
  <c r="P185" i="5"/>
  <c r="P186" i="5"/>
  <c r="P189" i="5"/>
  <c r="P221" i="5"/>
  <c r="P191" i="5"/>
  <c r="P181" i="5"/>
  <c r="N187" i="5"/>
  <c r="P15" i="5"/>
  <c r="P19" i="5"/>
  <c r="R41" i="6"/>
  <c r="R51" i="6"/>
  <c r="O182" i="5"/>
  <c r="O183" i="5"/>
  <c r="O42" i="5"/>
  <c r="O185" i="5"/>
  <c r="O186" i="5"/>
  <c r="P90" i="5"/>
  <c r="P93" i="5"/>
  <c r="P295" i="5"/>
  <c r="R43" i="6"/>
  <c r="P23" i="5"/>
  <c r="P405" i="5"/>
  <c r="P209" i="5"/>
  <c r="P213" i="5"/>
  <c r="P86" i="5"/>
  <c r="P44" i="5"/>
  <c r="N206" i="5"/>
  <c r="N207" i="5"/>
  <c r="N85" i="5"/>
  <c r="N56" i="5"/>
  <c r="P204" i="5"/>
  <c r="P43" i="5"/>
  <c r="P220" i="5"/>
  <c r="P223" i="5"/>
  <c r="O51" i="5"/>
  <c r="P183" i="5"/>
  <c r="P187" i="5"/>
  <c r="P56" i="5"/>
  <c r="O187" i="5"/>
  <c r="O56" i="5"/>
  <c r="O205" i="5"/>
  <c r="P48" i="5"/>
  <c r="P51" i="5"/>
  <c r="Q223" i="5"/>
  <c r="R220" i="5"/>
  <c r="R223" i="5"/>
  <c r="P205" i="5"/>
  <c r="P42" i="5"/>
  <c r="O206" i="5"/>
  <c r="O207" i="5"/>
  <c r="O85" i="5"/>
  <c r="P206" i="5"/>
  <c r="R48" i="5"/>
  <c r="R51" i="5"/>
  <c r="Q48" i="5"/>
  <c r="Q51" i="5"/>
  <c r="P207" i="5"/>
  <c r="P85" i="5"/>
  <c r="J242" i="5"/>
  <c r="J69" i="5"/>
  <c r="K238" i="5"/>
  <c r="R238" i="5"/>
  <c r="Q238" i="5"/>
  <c r="Q242" i="5"/>
  <c r="Q69" i="5"/>
  <c r="R240" i="5"/>
  <c r="J377" i="5"/>
  <c r="K342" i="5"/>
  <c r="K339" i="5"/>
  <c r="K104" i="5"/>
  <c r="R104" i="5"/>
  <c r="L335" i="5"/>
  <c r="R353" i="5"/>
  <c r="R356" i="5"/>
  <c r="K356" i="5"/>
  <c r="K353" i="5"/>
  <c r="K105" i="5"/>
  <c r="R105" i="5"/>
  <c r="L349" i="5"/>
  <c r="L377" i="5"/>
  <c r="L351" i="5"/>
  <c r="R233" i="5"/>
  <c r="L296" i="5"/>
  <c r="N46" i="6"/>
  <c r="C419" i="2"/>
  <c r="C420" i="2"/>
  <c r="D420" i="2"/>
  <c r="D419" i="2"/>
  <c r="D421" i="2"/>
  <c r="C421" i="2"/>
  <c r="D422" i="2"/>
  <c r="C422" i="2"/>
  <c r="C423" i="2"/>
  <c r="D423" i="2"/>
  <c r="D424" i="2"/>
  <c r="C424" i="2"/>
  <c r="K425" i="5"/>
  <c r="G8" i="6"/>
  <c r="D91" i="6"/>
  <c r="D255" i="6"/>
  <c r="K406" i="5"/>
  <c r="L406" i="5" s="1"/>
  <c r="K407" i="5"/>
  <c r="K415" i="5" s="1"/>
  <c r="D92" i="6"/>
  <c r="D93" i="6"/>
  <c r="D90" i="6"/>
  <c r="D89" i="6"/>
  <c r="M406" i="5" l="1"/>
  <c r="L407" i="5"/>
  <c r="L415" i="5" s="1"/>
  <c r="M407" i="5" l="1"/>
  <c r="M415" i="5" s="1"/>
  <c r="N406" i="5"/>
  <c r="N407" i="5" l="1"/>
  <c r="N415" i="5" s="1"/>
  <c r="O406" i="5"/>
  <c r="O407" i="5" l="1"/>
  <c r="O415" i="5" s="1"/>
  <c r="P406" i="5"/>
  <c r="P407" i="5" s="1"/>
  <c r="P415" i="5" s="1"/>
  <c r="L138" i="3"/>
  <c r="M138" i="3"/>
  <c r="N138" i="3"/>
  <c r="O138" i="3"/>
  <c r="P138" i="3"/>
  <c r="Q138" i="3"/>
  <c r="J25" i="5"/>
  <c r="K25" i="5"/>
  <c r="L25" i="5"/>
  <c r="M25" i="5"/>
  <c r="N25" i="5"/>
  <c r="O25" i="5"/>
  <c r="P25" i="5"/>
  <c r="Q25" i="5"/>
  <c r="R25" i="5"/>
  <c r="J26" i="5"/>
  <c r="K26" i="5"/>
  <c r="L26" i="5"/>
  <c r="M26" i="5"/>
  <c r="N26" i="5"/>
  <c r="O26" i="5"/>
  <c r="P26" i="5"/>
  <c r="Q26" i="5"/>
  <c r="R26" i="5"/>
  <c r="K27" i="5"/>
  <c r="L27" i="5"/>
  <c r="M27" i="5"/>
  <c r="N27" i="5"/>
  <c r="O27" i="5"/>
  <c r="P27" i="5"/>
  <c r="R27" i="5"/>
  <c r="J28" i="5"/>
  <c r="K28" i="5"/>
  <c r="L28" i="5"/>
  <c r="M28" i="5"/>
  <c r="N28" i="5"/>
  <c r="O28" i="5"/>
  <c r="P28" i="5"/>
  <c r="Q28" i="5"/>
  <c r="R28" i="5"/>
  <c r="J30" i="5"/>
  <c r="K30" i="5"/>
  <c r="L30" i="5"/>
  <c r="M30" i="5"/>
  <c r="N30" i="5"/>
  <c r="O30" i="5"/>
  <c r="P30" i="5"/>
  <c r="Q30" i="5"/>
  <c r="R30" i="5"/>
  <c r="J31" i="5"/>
  <c r="K31" i="5"/>
  <c r="L31" i="5"/>
  <c r="M31" i="5"/>
  <c r="N31" i="5"/>
  <c r="O31" i="5"/>
  <c r="P31" i="5"/>
  <c r="Q31" i="5"/>
  <c r="R31" i="5"/>
  <c r="J41" i="5"/>
  <c r="K41" i="5"/>
  <c r="L41" i="5"/>
  <c r="M41" i="5"/>
  <c r="N41" i="5"/>
  <c r="O41" i="5"/>
  <c r="P41" i="5"/>
  <c r="Q41" i="5"/>
  <c r="R41" i="5"/>
  <c r="J45" i="5"/>
  <c r="K45" i="5"/>
  <c r="L45" i="5"/>
  <c r="M45" i="5"/>
  <c r="N45" i="5"/>
  <c r="O45" i="5"/>
  <c r="P45" i="5"/>
  <c r="Q45" i="5"/>
  <c r="R45" i="5"/>
  <c r="J53" i="5"/>
  <c r="K53" i="5"/>
  <c r="L53" i="5"/>
  <c r="M53" i="5"/>
  <c r="N53" i="5"/>
  <c r="O53" i="5"/>
  <c r="P53" i="5"/>
  <c r="Q53" i="5"/>
  <c r="R53" i="5"/>
  <c r="J57" i="5"/>
  <c r="K57" i="5"/>
  <c r="L57" i="5"/>
  <c r="M57" i="5"/>
  <c r="N57" i="5"/>
  <c r="O57" i="5"/>
  <c r="P57" i="5"/>
  <c r="Q57" i="5"/>
  <c r="R57" i="5"/>
  <c r="J59" i="5"/>
  <c r="K59" i="5"/>
  <c r="L59" i="5"/>
  <c r="M59" i="5"/>
  <c r="N59" i="5"/>
  <c r="O59" i="5"/>
  <c r="P59" i="5"/>
  <c r="Q59" i="5"/>
  <c r="R59" i="5"/>
  <c r="J62" i="5"/>
  <c r="K62" i="5"/>
  <c r="L62" i="5"/>
  <c r="M62" i="5"/>
  <c r="N62" i="5"/>
  <c r="O62" i="5"/>
  <c r="P62" i="5"/>
  <c r="Q62" i="5"/>
  <c r="R62" i="5"/>
  <c r="J64" i="5"/>
  <c r="K64" i="5"/>
  <c r="L64" i="5"/>
  <c r="M64" i="5"/>
  <c r="N64" i="5"/>
  <c r="O64" i="5"/>
  <c r="P64" i="5"/>
  <c r="Q64" i="5"/>
  <c r="R64" i="5"/>
  <c r="J66" i="5"/>
  <c r="K66" i="5"/>
  <c r="L66" i="5"/>
  <c r="M66" i="5"/>
  <c r="N66" i="5"/>
  <c r="O66" i="5"/>
  <c r="P66" i="5"/>
  <c r="Q66" i="5"/>
  <c r="R66" i="5"/>
  <c r="K69" i="5"/>
  <c r="L69" i="5"/>
  <c r="M69" i="5"/>
  <c r="N69" i="5"/>
  <c r="O69" i="5"/>
  <c r="P69" i="5"/>
  <c r="R69" i="5"/>
  <c r="J70" i="5"/>
  <c r="K70" i="5"/>
  <c r="L70" i="5"/>
  <c r="M70" i="5"/>
  <c r="N70" i="5"/>
  <c r="O70" i="5"/>
  <c r="P70" i="5"/>
  <c r="Q70" i="5"/>
  <c r="R70" i="5"/>
  <c r="J71" i="5"/>
  <c r="K71" i="5"/>
  <c r="L71" i="5"/>
  <c r="M71" i="5"/>
  <c r="N71" i="5"/>
  <c r="O71" i="5"/>
  <c r="P71" i="5"/>
  <c r="Q71" i="5"/>
  <c r="R71" i="5"/>
  <c r="J73" i="5"/>
  <c r="K73" i="5"/>
  <c r="L73" i="5"/>
  <c r="M73" i="5"/>
  <c r="N73" i="5"/>
  <c r="O73" i="5"/>
  <c r="P73" i="5"/>
  <c r="Q73" i="5"/>
  <c r="R73" i="5"/>
  <c r="J75" i="5"/>
  <c r="K75" i="5"/>
  <c r="L75" i="5"/>
  <c r="M75" i="5"/>
  <c r="N75" i="5"/>
  <c r="O75" i="5"/>
  <c r="P75" i="5"/>
  <c r="Q75" i="5"/>
  <c r="R75" i="5"/>
  <c r="J83" i="5"/>
  <c r="K83" i="5"/>
  <c r="L83" i="5"/>
  <c r="M83" i="5"/>
  <c r="N83" i="5"/>
  <c r="O83" i="5"/>
  <c r="P83" i="5"/>
  <c r="Q83" i="5"/>
  <c r="R83" i="5"/>
  <c r="K84" i="5"/>
  <c r="L84" i="5"/>
  <c r="M84" i="5"/>
  <c r="N84" i="5"/>
  <c r="O84" i="5"/>
  <c r="P84" i="5"/>
  <c r="R84" i="5"/>
  <c r="J87" i="5"/>
  <c r="K87" i="5"/>
  <c r="L87" i="5"/>
  <c r="M87" i="5"/>
  <c r="N87" i="5"/>
  <c r="O87" i="5"/>
  <c r="P87" i="5"/>
  <c r="Q87" i="5"/>
  <c r="R87" i="5"/>
  <c r="J98" i="5"/>
  <c r="K98" i="5"/>
  <c r="Q98" i="5"/>
  <c r="R98" i="5"/>
  <c r="K101" i="5"/>
  <c r="R101" i="5"/>
  <c r="K102" i="5"/>
  <c r="R102" i="5"/>
  <c r="K103" i="5"/>
  <c r="L103" i="5"/>
  <c r="M103" i="5"/>
  <c r="N103" i="5"/>
  <c r="O103" i="5"/>
  <c r="P103" i="5"/>
  <c r="R103" i="5"/>
  <c r="L104" i="5"/>
  <c r="M104" i="5"/>
  <c r="N104" i="5"/>
  <c r="O104" i="5"/>
  <c r="P104" i="5"/>
  <c r="L105" i="5"/>
  <c r="M105" i="5"/>
  <c r="N105" i="5"/>
  <c r="O105" i="5"/>
  <c r="P105" i="5"/>
  <c r="K106" i="5"/>
  <c r="R106" i="5"/>
  <c r="J108" i="5"/>
  <c r="K108" i="5"/>
  <c r="L108" i="5"/>
  <c r="M108" i="5"/>
  <c r="N108" i="5"/>
  <c r="O108" i="5"/>
  <c r="P108" i="5"/>
  <c r="Q108" i="5"/>
  <c r="R108" i="5"/>
  <c r="K114" i="5"/>
  <c r="L114" i="5"/>
  <c r="M114" i="5"/>
  <c r="N114" i="5"/>
  <c r="O114" i="5"/>
  <c r="P114" i="5"/>
  <c r="Q114" i="5"/>
  <c r="R114" i="5"/>
  <c r="J115" i="5"/>
  <c r="K115" i="5"/>
  <c r="L115" i="5"/>
  <c r="M115" i="5"/>
  <c r="N115" i="5"/>
  <c r="O115" i="5"/>
  <c r="P115" i="5"/>
  <c r="Q115" i="5"/>
  <c r="R115" i="5"/>
  <c r="J116" i="5"/>
  <c r="K116" i="5"/>
  <c r="L116" i="5"/>
  <c r="M116" i="5"/>
  <c r="N116" i="5"/>
  <c r="O116" i="5"/>
  <c r="P116" i="5"/>
  <c r="Q116" i="5"/>
  <c r="R116" i="5"/>
  <c r="J171" i="5"/>
  <c r="K171" i="5"/>
  <c r="L171" i="5"/>
  <c r="M171" i="5"/>
  <c r="N171" i="5"/>
  <c r="O171" i="5"/>
  <c r="P171" i="5"/>
  <c r="K230" i="5"/>
  <c r="L230" i="5"/>
  <c r="M230" i="5"/>
  <c r="N230" i="5"/>
  <c r="O230" i="5"/>
  <c r="P230" i="5"/>
  <c r="Q230" i="5"/>
  <c r="R230" i="5"/>
  <c r="J231" i="5"/>
  <c r="K231" i="5"/>
  <c r="L231" i="5"/>
  <c r="M231" i="5"/>
  <c r="N231" i="5"/>
  <c r="O231" i="5"/>
  <c r="P231" i="5"/>
  <c r="Q231" i="5"/>
  <c r="R231" i="5"/>
  <c r="J234" i="5"/>
  <c r="K234" i="5"/>
  <c r="L234" i="5"/>
  <c r="M234" i="5"/>
  <c r="N234" i="5"/>
  <c r="O234" i="5"/>
  <c r="P234" i="5"/>
  <c r="Q234" i="5"/>
  <c r="R234" i="5"/>
  <c r="L238" i="5"/>
  <c r="M238" i="5"/>
  <c r="N238" i="5"/>
  <c r="O238" i="5"/>
  <c r="P238" i="5"/>
  <c r="K241" i="5"/>
  <c r="R241" i="5"/>
  <c r="K242" i="5"/>
  <c r="L242" i="5"/>
  <c r="M242" i="5"/>
  <c r="N242" i="5"/>
  <c r="O242" i="5"/>
  <c r="P242" i="5"/>
  <c r="R242" i="5"/>
  <c r="K252" i="5"/>
  <c r="Q252" i="5"/>
  <c r="R252" i="5"/>
  <c r="J253" i="5"/>
  <c r="K253" i="5"/>
  <c r="Q253" i="5"/>
  <c r="R253" i="5"/>
  <c r="J259" i="5"/>
  <c r="K259" i="5"/>
  <c r="Q259" i="5"/>
  <c r="R259" i="5"/>
  <c r="K262" i="5"/>
  <c r="Q262" i="5"/>
  <c r="R262" i="5"/>
  <c r="J263" i="5"/>
  <c r="K263" i="5"/>
  <c r="Q263" i="5"/>
  <c r="R263" i="5"/>
  <c r="J264" i="5"/>
  <c r="K264" i="5"/>
  <c r="Q264" i="5"/>
  <c r="R264" i="5"/>
  <c r="J267" i="5"/>
  <c r="K267" i="5"/>
  <c r="Q267" i="5"/>
  <c r="R267" i="5"/>
  <c r="J269" i="5"/>
  <c r="K269" i="5"/>
  <c r="Q269" i="5"/>
  <c r="R269" i="5"/>
  <c r="K272" i="5"/>
  <c r="Q272" i="5"/>
  <c r="R272" i="5"/>
  <c r="J273" i="5"/>
  <c r="K273" i="5"/>
  <c r="Q273" i="5"/>
  <c r="R273" i="5"/>
  <c r="J274" i="5"/>
  <c r="K274" i="5"/>
  <c r="Q274" i="5"/>
  <c r="R274" i="5"/>
  <c r="J277" i="5"/>
  <c r="K277" i="5"/>
  <c r="Q277" i="5"/>
  <c r="J279" i="5"/>
  <c r="K279" i="5"/>
  <c r="Q279" i="5"/>
  <c r="R279" i="5"/>
  <c r="J281" i="5"/>
  <c r="K281" i="5"/>
  <c r="Q281" i="5"/>
  <c r="R281" i="5"/>
  <c r="J283" i="5"/>
  <c r="K283" i="5"/>
  <c r="Q283" i="5"/>
  <c r="R283" i="5"/>
  <c r="J285" i="5"/>
  <c r="K285" i="5"/>
  <c r="Q285" i="5"/>
  <c r="K293" i="5"/>
  <c r="L293" i="5"/>
  <c r="M293" i="5"/>
  <c r="N293" i="5"/>
  <c r="O293" i="5"/>
  <c r="P293" i="5"/>
  <c r="R293" i="5"/>
  <c r="K294" i="5"/>
  <c r="L294" i="5"/>
  <c r="M294" i="5"/>
  <c r="N294" i="5"/>
  <c r="O294" i="5"/>
  <c r="P294" i="5"/>
  <c r="R294" i="5"/>
  <c r="M296" i="5"/>
  <c r="N296" i="5"/>
  <c r="O296" i="5"/>
  <c r="P296" i="5"/>
  <c r="K300" i="5"/>
  <c r="L300" i="5"/>
  <c r="M300" i="5"/>
  <c r="N300" i="5"/>
  <c r="O300" i="5"/>
  <c r="P300" i="5"/>
  <c r="R300" i="5"/>
  <c r="L303" i="5"/>
  <c r="M303" i="5"/>
  <c r="N303" i="5"/>
  <c r="O303" i="5"/>
  <c r="P303" i="5"/>
  <c r="K304" i="5"/>
  <c r="L304" i="5"/>
  <c r="M304" i="5"/>
  <c r="N304" i="5"/>
  <c r="O304" i="5"/>
  <c r="P304" i="5"/>
  <c r="R304" i="5"/>
  <c r="K305" i="5"/>
  <c r="L305" i="5"/>
  <c r="M305" i="5"/>
  <c r="N305" i="5"/>
  <c r="O305" i="5"/>
  <c r="P305" i="5"/>
  <c r="R305" i="5"/>
  <c r="K308" i="5"/>
  <c r="L308" i="5"/>
  <c r="M308" i="5"/>
  <c r="N308" i="5"/>
  <c r="O308" i="5"/>
  <c r="P308" i="5"/>
  <c r="R308" i="5"/>
  <c r="L311" i="5"/>
  <c r="M311" i="5"/>
  <c r="N311" i="5"/>
  <c r="O311" i="5"/>
  <c r="P311" i="5"/>
  <c r="K312" i="5"/>
  <c r="L312" i="5"/>
  <c r="M312" i="5"/>
  <c r="N312" i="5"/>
  <c r="O312" i="5"/>
  <c r="P312" i="5"/>
  <c r="R312" i="5"/>
  <c r="K313" i="5"/>
  <c r="L313" i="5"/>
  <c r="M313" i="5"/>
  <c r="N313" i="5"/>
  <c r="O313" i="5"/>
  <c r="P313" i="5"/>
  <c r="R313" i="5"/>
  <c r="K316" i="5"/>
  <c r="L316" i="5"/>
  <c r="M316" i="5"/>
  <c r="N316" i="5"/>
  <c r="O316" i="5"/>
  <c r="P316" i="5"/>
  <c r="R316" i="5"/>
  <c r="K318" i="5"/>
  <c r="L318" i="5"/>
  <c r="M318" i="5"/>
  <c r="N318" i="5"/>
  <c r="O318" i="5"/>
  <c r="P318" i="5"/>
  <c r="R318" i="5"/>
  <c r="K327" i="5"/>
  <c r="L327" i="5"/>
  <c r="M327" i="5"/>
  <c r="N327" i="5"/>
  <c r="O327" i="5"/>
  <c r="P327" i="5"/>
  <c r="R327" i="5"/>
  <c r="K328" i="5"/>
  <c r="L328" i="5"/>
  <c r="M328" i="5"/>
  <c r="N328" i="5"/>
  <c r="O328" i="5"/>
  <c r="P328" i="5"/>
  <c r="R328" i="5"/>
  <c r="K329" i="5"/>
  <c r="L329" i="5"/>
  <c r="M329" i="5"/>
  <c r="N329" i="5"/>
  <c r="O329" i="5"/>
  <c r="P329" i="5"/>
  <c r="R329" i="5"/>
  <c r="K330" i="5"/>
  <c r="L330" i="5"/>
  <c r="M330" i="5"/>
  <c r="N330" i="5"/>
  <c r="O330" i="5"/>
  <c r="P330" i="5"/>
  <c r="R330" i="5"/>
  <c r="M335" i="5"/>
  <c r="N335" i="5"/>
  <c r="O335" i="5"/>
  <c r="P335" i="5"/>
  <c r="L338" i="5"/>
  <c r="M338" i="5"/>
  <c r="N338" i="5"/>
  <c r="O338" i="5"/>
  <c r="P338" i="5"/>
  <c r="L339" i="5"/>
  <c r="M339" i="5"/>
  <c r="N339" i="5"/>
  <c r="O339" i="5"/>
  <c r="P339" i="5"/>
  <c r="L342" i="5"/>
  <c r="M342" i="5"/>
  <c r="N342" i="5"/>
  <c r="O342" i="5"/>
  <c r="P342" i="5"/>
  <c r="M349" i="5"/>
  <c r="N349" i="5"/>
  <c r="O349" i="5"/>
  <c r="P349" i="5"/>
  <c r="M351" i="5"/>
  <c r="N351" i="5"/>
  <c r="O351" i="5"/>
  <c r="P351" i="5"/>
  <c r="L352" i="5"/>
  <c r="M352" i="5"/>
  <c r="N352" i="5"/>
  <c r="O352" i="5"/>
  <c r="P352" i="5"/>
  <c r="L353" i="5"/>
  <c r="M353" i="5"/>
  <c r="N353" i="5"/>
  <c r="O353" i="5"/>
  <c r="P353" i="5"/>
  <c r="L356" i="5"/>
  <c r="M356" i="5"/>
  <c r="N356" i="5"/>
  <c r="O356" i="5"/>
  <c r="P356" i="5"/>
  <c r="K358" i="5"/>
  <c r="L358" i="5"/>
  <c r="M358" i="5"/>
  <c r="N358" i="5"/>
  <c r="O358" i="5"/>
  <c r="P358" i="5"/>
  <c r="Q358" i="5"/>
  <c r="R358" i="5"/>
  <c r="K360" i="5"/>
  <c r="L360" i="5"/>
  <c r="M360" i="5"/>
  <c r="N360" i="5"/>
  <c r="O360" i="5"/>
  <c r="P360" i="5"/>
  <c r="Q360" i="5"/>
  <c r="R360" i="5"/>
  <c r="K367" i="5"/>
  <c r="L367" i="5"/>
  <c r="M367" i="5"/>
  <c r="N367" i="5"/>
  <c r="O367" i="5"/>
  <c r="P367" i="5"/>
  <c r="R367" i="5"/>
  <c r="K368" i="5"/>
  <c r="L368" i="5"/>
  <c r="M368" i="5"/>
  <c r="N368" i="5"/>
  <c r="O368" i="5"/>
  <c r="P368" i="5"/>
  <c r="R368" i="5"/>
  <c r="K369" i="5"/>
  <c r="L369" i="5"/>
  <c r="M369" i="5"/>
  <c r="N369" i="5"/>
  <c r="O369" i="5"/>
  <c r="P369" i="5"/>
  <c r="R369" i="5"/>
  <c r="K377" i="5"/>
  <c r="M377" i="5"/>
  <c r="N377" i="5"/>
  <c r="O377" i="5"/>
  <c r="P377" i="5"/>
  <c r="Q377" i="5"/>
  <c r="R377" i="5"/>
  <c r="J378" i="5"/>
  <c r="K378" i="5"/>
  <c r="Q378" i="5"/>
  <c r="R378" i="5"/>
  <c r="L379" i="5"/>
  <c r="M379" i="5"/>
  <c r="N379" i="5"/>
  <c r="O379" i="5"/>
  <c r="P379" i="5"/>
  <c r="L380" i="5"/>
  <c r="M380" i="5"/>
  <c r="N380" i="5"/>
  <c r="O380" i="5"/>
  <c r="P380" i="5"/>
  <c r="J381" i="5"/>
  <c r="K381" i="5"/>
  <c r="L381" i="5"/>
  <c r="M381" i="5"/>
  <c r="N381" i="5"/>
  <c r="O381" i="5"/>
  <c r="P381" i="5"/>
  <c r="Q381" i="5"/>
  <c r="R381" i="5"/>
  <c r="K383" i="5"/>
  <c r="L383" i="5"/>
  <c r="M383" i="5"/>
  <c r="N383" i="5"/>
  <c r="O383" i="5"/>
  <c r="P383" i="5"/>
  <c r="R383" i="5"/>
  <c r="J384" i="5"/>
  <c r="K384" i="5"/>
  <c r="L384" i="5"/>
  <c r="M384" i="5"/>
  <c r="N384" i="5"/>
  <c r="O384" i="5"/>
  <c r="P384" i="5"/>
  <c r="Q384" i="5"/>
  <c r="R384" i="5"/>
  <c r="K387" i="5"/>
  <c r="L387" i="5"/>
  <c r="M387" i="5"/>
  <c r="N387" i="5"/>
  <c r="O387" i="5"/>
  <c r="P387" i="5"/>
  <c r="Q387" i="5"/>
  <c r="R387" i="5"/>
  <c r="J388" i="5"/>
  <c r="K388" i="5"/>
  <c r="Q388" i="5"/>
  <c r="R388" i="5"/>
  <c r="K389" i="5"/>
  <c r="L389" i="5"/>
  <c r="M389" i="5"/>
  <c r="N389" i="5"/>
  <c r="O389" i="5"/>
  <c r="P389" i="5"/>
  <c r="R389" i="5"/>
  <c r="J390" i="5"/>
  <c r="K390" i="5"/>
  <c r="L390" i="5"/>
  <c r="M390" i="5"/>
  <c r="N390" i="5"/>
  <c r="O390" i="5"/>
  <c r="P390" i="5"/>
  <c r="Q390" i="5"/>
  <c r="R390" i="5"/>
  <c r="J392" i="5"/>
  <c r="K392" i="5"/>
  <c r="L392" i="5"/>
  <c r="M392" i="5"/>
  <c r="N392" i="5"/>
  <c r="O392" i="5"/>
  <c r="P392" i="5"/>
  <c r="Q392" i="5"/>
  <c r="R392" i="5"/>
  <c r="J394" i="5"/>
  <c r="K394" i="5"/>
  <c r="L394" i="5"/>
  <c r="M394" i="5"/>
  <c r="N394" i="5"/>
  <c r="O394" i="5"/>
  <c r="P394" i="5"/>
  <c r="Q394" i="5"/>
  <c r="R394" i="5"/>
  <c r="K410" i="5"/>
  <c r="L410" i="5"/>
  <c r="M410" i="5"/>
  <c r="N410" i="5"/>
  <c r="O410" i="5"/>
  <c r="P410" i="5"/>
  <c r="K411" i="5"/>
  <c r="L411" i="5"/>
  <c r="M411" i="5"/>
  <c r="N411" i="5"/>
  <c r="O411" i="5"/>
  <c r="P411" i="5"/>
  <c r="K412" i="5"/>
  <c r="L412" i="5"/>
  <c r="M412" i="5"/>
  <c r="N412" i="5"/>
  <c r="O412" i="5"/>
  <c r="P412" i="5"/>
  <c r="K416" i="5"/>
  <c r="L416" i="5"/>
  <c r="M416" i="5"/>
  <c r="N416" i="5"/>
  <c r="O416" i="5"/>
  <c r="P416" i="5"/>
  <c r="K417" i="5"/>
  <c r="L417" i="5"/>
  <c r="M417" i="5"/>
  <c r="N417" i="5"/>
  <c r="O417" i="5"/>
  <c r="P417" i="5"/>
  <c r="C421" i="5"/>
  <c r="D421" i="5"/>
  <c r="J421" i="5"/>
  <c r="P421" i="5"/>
  <c r="C422" i="5"/>
  <c r="D422" i="5"/>
  <c r="J422" i="5"/>
  <c r="O422" i="5"/>
  <c r="C423" i="5"/>
  <c r="D423" i="5"/>
  <c r="J423" i="5"/>
  <c r="N423" i="5"/>
  <c r="C424" i="5"/>
  <c r="D424" i="5"/>
  <c r="J424" i="5"/>
  <c r="M424" i="5"/>
  <c r="C425" i="5"/>
  <c r="D425" i="5"/>
  <c r="J425" i="5"/>
  <c r="L425" i="5"/>
  <c r="C426" i="5"/>
  <c r="D426" i="5"/>
  <c r="J426" i="5"/>
  <c r="K426" i="5"/>
  <c r="G7" i="6"/>
  <c r="M7" i="6"/>
  <c r="N7" i="6"/>
  <c r="U8" i="6"/>
  <c r="U9" i="6"/>
  <c r="G10" i="6"/>
  <c r="U10" i="6"/>
  <c r="M11" i="6"/>
  <c r="N11" i="6"/>
  <c r="M12" i="6"/>
  <c r="N12" i="6"/>
  <c r="G16" i="6"/>
  <c r="G17" i="6"/>
  <c r="G18" i="6"/>
  <c r="G19" i="6"/>
  <c r="G21" i="6"/>
  <c r="G23" i="6"/>
  <c r="B35" i="6"/>
  <c r="I35" i="6"/>
  <c r="P35" i="6"/>
  <c r="L42" i="6"/>
  <c r="M42" i="6"/>
  <c r="N42" i="6"/>
  <c r="O42" i="6"/>
  <c r="P42" i="6"/>
  <c r="Q42" i="6"/>
  <c r="R42" i="6"/>
  <c r="L45" i="6"/>
  <c r="M45" i="6"/>
  <c r="N45" i="6"/>
  <c r="O45" i="6"/>
  <c r="P45" i="6"/>
  <c r="Q45" i="6"/>
  <c r="R45" i="6"/>
  <c r="O46" i="6"/>
  <c r="P46" i="6"/>
  <c r="Q46" i="6"/>
  <c r="R46" i="6"/>
  <c r="L47" i="6"/>
  <c r="M47" i="6"/>
  <c r="N47" i="6"/>
  <c r="O47" i="6"/>
  <c r="P47" i="6"/>
  <c r="Q47" i="6"/>
  <c r="R47" i="6"/>
  <c r="L48" i="6"/>
  <c r="M48" i="6"/>
  <c r="N48" i="6"/>
  <c r="O48" i="6"/>
  <c r="P48" i="6"/>
  <c r="Q48" i="6"/>
  <c r="R48" i="6"/>
  <c r="L49" i="6"/>
  <c r="M49" i="6"/>
  <c r="N49" i="6"/>
  <c r="O49" i="6"/>
  <c r="P49" i="6"/>
  <c r="Q49" i="6"/>
  <c r="R49" i="6"/>
  <c r="L50" i="6"/>
  <c r="M50" i="6"/>
  <c r="N50" i="6"/>
  <c r="O50" i="6"/>
  <c r="P50" i="6"/>
  <c r="Q50" i="6"/>
  <c r="R50" i="6"/>
  <c r="L53" i="6"/>
  <c r="M53" i="6"/>
  <c r="N53" i="6"/>
  <c r="O53" i="6"/>
  <c r="P53" i="6"/>
  <c r="Q53" i="6"/>
  <c r="R53" i="6"/>
  <c r="L54" i="6"/>
  <c r="M54" i="6"/>
  <c r="N54" i="6"/>
  <c r="O54" i="6"/>
  <c r="P54" i="6"/>
  <c r="Q54" i="6"/>
  <c r="R54" i="6"/>
  <c r="E88" i="6"/>
  <c r="F88" i="6"/>
  <c r="D247" i="6"/>
  <c r="E247" i="6"/>
  <c r="D248" i="6"/>
  <c r="E248" i="6"/>
  <c r="D249" i="6"/>
  <c r="E249" i="6"/>
  <c r="D250" i="6"/>
  <c r="E250" i="6"/>
  <c r="D251" i="6"/>
  <c r="E251" i="6"/>
  <c r="D254" i="6"/>
  <c r="C8" i="1"/>
  <c r="F8" i="1"/>
  <c r="G8" i="1"/>
  <c r="L9" i="1"/>
  <c r="L10" i="1"/>
  <c r="C11" i="1"/>
  <c r="L11" i="1"/>
  <c r="F12" i="1"/>
  <c r="G12" i="1"/>
  <c r="F13" i="1"/>
  <c r="G13" i="1"/>
  <c r="I15" i="1"/>
  <c r="K15" i="1"/>
  <c r="C17" i="1"/>
  <c r="C18" i="1"/>
  <c r="C19" i="1"/>
  <c r="C20" i="1"/>
  <c r="C22" i="1"/>
  <c r="C24" i="1"/>
  <c r="M27" i="1"/>
  <c r="M30" i="1"/>
  <c r="C43" i="1"/>
  <c r="D43" i="1"/>
  <c r="D44" i="1"/>
  <c r="D45" i="1"/>
  <c r="D46" i="1"/>
  <c r="C47" i="1"/>
  <c r="D47" i="1"/>
  <c r="C48" i="1"/>
  <c r="D4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tc={1F8EFE9B-A027-4F31-B7E3-719C5BBCB508}</author>
    <author>Will Paraskeva</author>
    <author>tc={D78B33E1-1E4D-4802-A6AF-39E20087341E}</author>
  </authors>
  <commentList>
    <comment ref="U8" authorId="0" shapeId="0" xr:uid="{1F8EFE9B-A027-4F31-B7E3-719C5BBCB508}">
      <text>
        <t>[Threaded comment]
Your version of Excel allows you to read this threaded comment; however, any edits to it will get removed if the file is opened in a newer version of Excel. Learn more: https://go.microsoft.com/fwlink/?linkid=870924
Comment:
    Assume leases not refinanced so just ST + LT  borrowings</t>
      </text>
    </comment>
    <comment ref="B234" authorId="1" shapeId="0" xr:uid="{8CA5E49A-FE3E-46B6-9B27-EC0B7E1D8AF5}">
      <text>
        <r>
          <rPr>
            <b/>
            <sz val="9"/>
            <color indexed="81"/>
            <rFont val="Tahoma"/>
            <family val="2"/>
          </rPr>
          <t>Will Paraskeva:</t>
        </r>
        <r>
          <rPr>
            <sz val="9"/>
            <color indexed="81"/>
            <rFont val="Tahoma"/>
            <family val="2"/>
          </rPr>
          <t xml:space="preserve">
EBIT doesn't include revenue from disposals. </t>
        </r>
      </text>
    </comment>
    <comment ref="B235" authorId="1" shapeId="0" xr:uid="{60AACF6C-617F-43DE-B696-E2AF389AB0BC}">
      <text>
        <r>
          <rPr>
            <b/>
            <sz val="9"/>
            <color indexed="81"/>
            <rFont val="Tahoma"/>
            <family val="2"/>
          </rPr>
          <t xml:space="preserve">Will Paraskeva:
Total Debt includes lease liabilities. EBITDA doesn't include inorganic revenue from disposals. </t>
        </r>
      </text>
    </comment>
    <comment ref="P239" authorId="2" shapeId="0" xr:uid="{D78B33E1-1E4D-4802-A6AF-39E20087341E}">
      <text>
        <t xml:space="preserve">[Threaded comment]
Your version of Excel allows you to read this threaded comment; however, any edits to it will get removed if the file is opened in a newer version of Excel. Learn more: https://go.microsoft.com/fwlink/?linkid=870924
Comment:
    2025e Based on Q1 and Q2 growth rates. Averaged them.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tc={7A40BFEC-FB3F-4F03-9377-7EE58B052F31}</author>
    <author>tc={0835D51C-3B7A-4A44-940E-10B0E7F18A6C}</author>
    <author>tc={B7BF24B4-33E6-43A7-9FA5-B71FEDF534EC}</author>
    <author>Will Paraskeva</author>
    <author>tc={3E82E6B2-76B9-452D-8224-D4B2BA549336}</author>
    <author>Sathiya-Moorthi,P (ug)</author>
    <author>tc={C0E851A6-5452-48EA-AC30-6AA04F5DAC29}</author>
    <author>tc={3B01749E-63A3-409D-90C6-E38234BBEECF}</author>
  </authors>
  <commentList>
    <comment ref="L9" authorId="0" shapeId="0" xr:uid="{7A40BFEC-FB3F-4F03-9377-7EE58B052F31}">
      <text>
        <t>[Threaded comment]
Your version of Excel allows you to read this threaded comment; however, any edits to it will get removed if the file is opened in a newer version of Excel. Learn more: https://go.microsoft.com/fwlink/?linkid=870924
Comment:
    Assume leases not refinanced so just ST + LT  borrowings</t>
      </text>
    </comment>
    <comment ref="F10" authorId="1" shapeId="0" xr:uid="{0835D51C-3B7A-4A44-940E-10B0E7F18A6C}">
      <text>
        <t>[Threaded comment]
Your version of Excel allows you to read this threaded comment; however, any edits to it will get removed if the file is opened in a newer version of Excel. Learn more: https://go.microsoft.com/fwlink/?linkid=870924
Comment:
    Loan amount in euros is 950mn. Using exchange rate of 1 euro= £0.88</t>
      </text>
    </comment>
    <comment ref="F11" authorId="2" shapeId="0" xr:uid="{B7BF24B4-33E6-43A7-9FA5-B71FEDF534EC}">
      <text>
        <t>[Threaded comment]
Your version of Excel allows you to read this threaded comment; however, any edits to it will get removed if the file is opened in a newer version of Excel. Learn more: https://go.microsoft.com/fwlink/?linkid=870924
Comment:
    Loan amount in dollars is $900 mn. Using exchange rate of $1=£0.76</t>
      </text>
    </comment>
    <comment ref="B13" authorId="3" shapeId="0" xr:uid="{5BB5AE44-94FF-4272-A9CC-BB7FA59F33C6}">
      <text>
        <r>
          <rPr>
            <b/>
            <sz val="9"/>
            <color indexed="81"/>
            <rFont val="Tahoma"/>
            <family val="2"/>
          </rPr>
          <t>Will Paraskeva:</t>
        </r>
        <r>
          <rPr>
            <sz val="9"/>
            <color indexed="81"/>
            <rFont val="Tahoma"/>
            <family val="2"/>
          </rPr>
          <t xml:space="preserve">
This is built off of the stub period rather than the raw data.</t>
        </r>
      </text>
    </comment>
    <comment ref="C19" authorId="3" shapeId="0" xr:uid="{BBE7DA33-2C23-47F5-AC9C-9E74F6CBF23E}">
      <text>
        <r>
          <rPr>
            <b/>
            <sz val="9"/>
            <color indexed="81"/>
            <rFont val="Tahoma"/>
            <family val="2"/>
          </rPr>
          <t>Will Paraskeva:</t>
        </r>
        <r>
          <rPr>
            <sz val="9"/>
            <color indexed="81"/>
            <rFont val="Tahoma"/>
            <family val="2"/>
          </rPr>
          <t xml:space="preserve">
Assuming leases aren't refinanced.</t>
        </r>
      </text>
    </comment>
    <comment ref="M28" authorId="3" shapeId="0" xr:uid="{AB135884-E94A-4D1F-9B50-C9E8AF166E23}">
      <text>
        <r>
          <rPr>
            <b/>
            <sz val="9"/>
            <color indexed="81"/>
            <rFont val="Tahoma"/>
            <family val="2"/>
          </rPr>
          <t>Will Paraskeva:</t>
        </r>
        <r>
          <rPr>
            <sz val="9"/>
            <color indexed="81"/>
            <rFont val="Tahoma"/>
            <family val="2"/>
          </rPr>
          <t xml:space="preserve">
Debt fees are capitalised. Summation of issuance fees given. </t>
        </r>
      </text>
    </comment>
    <comment ref="F29" authorId="4" shapeId="0" xr:uid="{3E82E6B2-76B9-452D-8224-D4B2BA549336}">
      <text>
        <t>[Threaded comment]
Your version of Excel allows you to read this threaded comment; however, any edits to it will get removed if the file is opened in a newer version of Excel. Learn more: https://go.microsoft.com/fwlink/?linkid=870924
Comment:
    Announcement says in or before Q1. For a lack of a better estimate and for sake of simplicity can assume soy
Reply:
    Blomberg terminal puts it at 31/3/2026</t>
      </text>
    </comment>
    <comment ref="M29" authorId="3" shapeId="0" xr:uid="{16BD0CCB-825F-4921-A3A0-41F1A58D46B7}">
      <text>
        <r>
          <rPr>
            <b/>
            <sz val="9"/>
            <color indexed="81"/>
            <rFont val="Tahoma"/>
            <family val="2"/>
          </rPr>
          <t>Will Paraskeva:</t>
        </r>
        <r>
          <rPr>
            <sz val="9"/>
            <color indexed="81"/>
            <rFont val="Tahoma"/>
            <family val="2"/>
          </rPr>
          <t xml:space="preserve">
These Would be expensed
</t>
        </r>
      </text>
    </comment>
    <comment ref="E34" authorId="5" shapeId="0" xr:uid="{7A54D4D0-AFE5-4574-864C-C9465C0338C2}">
      <text>
        <r>
          <rPr>
            <b/>
            <sz val="9"/>
            <color indexed="81"/>
            <rFont val="Tahoma"/>
            <family val="2"/>
          </rPr>
          <t xml:space="preserve">Sathiya-Moorthi,P (ug):
3 Months OPEX
</t>
        </r>
      </text>
    </comment>
    <comment ref="I44" authorId="6" shapeId="0" xr:uid="{C0E851A6-5452-48EA-AC30-6AA04F5DAC29}">
      <text>
        <t>[Threaded comment]
Your version of Excel allows you to read this threaded comment; however, any edits to it will get removed if the file is opened in a newer version of Excel. Learn more: https://go.microsoft.com/fwlink/?linkid=870924
Comment:
    Per facility currency</t>
      </text>
    </comment>
    <comment ref="F46" authorId="7" shapeId="0" xr:uid="{3B01749E-63A3-409D-90C6-E38234BBEECF}">
      <text>
        <t>[Threaded comment]
Your version of Excel allows you to read this threaded comment; however, any edits to it will get removed if the file is opened in a newer version of Excel. Learn more: https://go.microsoft.com/fwlink/?linkid=870924
Comment:
    Both USD and EUR Term loan include an Original Issue Discount (OID) of 1.00% as outlined in the fee letter</t>
      </text>
    </comment>
    <comment ref="D54" authorId="3" shapeId="0" xr:uid="{70810DE1-B6DC-4FAB-905F-B2045D96A385}">
      <text>
        <r>
          <rPr>
            <b/>
            <sz val="9"/>
            <color indexed="81"/>
            <rFont val="Tahoma"/>
            <family val="2"/>
          </rPr>
          <t>Will Paraskeva:</t>
        </r>
        <r>
          <rPr>
            <sz val="9"/>
            <color indexed="81"/>
            <rFont val="Tahoma"/>
            <family val="2"/>
          </rPr>
          <t xml:space="preserve">
100% of remaining cashflows after term loan B1 cashflow sweep fulfilled.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 Paraskeva</author>
    <author>tc={B9C3CF00-8CB4-4DCA-9F0F-6D5772859037}</author>
    <author>tc={2DA9AEE5-9471-4B34-901B-621ACE352584}</author>
    <author>tc={5A8BD516-82EB-421B-B18E-EE0EC4380FC8}</author>
    <author>tc={188363AB-D18A-4568-8689-7C16C0C9DA9C}</author>
    <author>tc={9EE68E2E-EAD7-461A-9BAE-3B4E877EC3AD}</author>
    <author>tc={805EE150-B85C-456E-ABC4-196CA21B37B5}</author>
    <author>Sathiya-Moorthi,P (ug)</author>
  </authors>
  <commentList>
    <comment ref="B12" authorId="0" shapeId="0" xr:uid="{17D32BA2-5548-40CE-A7C7-37D2853258C9}">
      <text>
        <r>
          <rPr>
            <b/>
            <sz val="9"/>
            <color indexed="81"/>
            <rFont val="Tahoma"/>
            <family val="2"/>
          </rPr>
          <t>Will Paraskeva:</t>
        </r>
        <r>
          <rPr>
            <sz val="9"/>
            <color indexed="81"/>
            <rFont val="Tahoma"/>
            <family val="2"/>
          </rPr>
          <t xml:space="preserve">
Figures are based off of management forecasts extracted from investor calls and earnings presentations. For 2025E, the expected growth rate used is the average of the Q1 and Q2 2025 growth rates. </t>
        </r>
      </text>
    </comment>
    <comment ref="K52" authorId="1" shapeId="0" xr:uid="{B9C3CF00-8CB4-4DCA-9F0F-6D5772859037}">
      <text>
        <t xml:space="preserve">[Threaded comment]
Your version of Excel allows you to read this threaded comment; however, any edits to it will get removed if the file is opened in a newer version of Excel. Learn more: https://go.microsoft.com/fwlink/?linkid=870924
Comment:
    2025e Based on Q1 and Q2 growth rates. Averaged them. </t>
      </text>
    </comment>
    <comment ref="B54" authorId="2" shapeId="0" xr:uid="{2DA9AEE5-9471-4B34-901B-621ACE352584}">
      <text>
        <t xml:space="preserve">[Threaded comment]
Your version of Excel allows you to read this threaded comment; however, any edits to it will get removed if the file is opened in a newer version of Excel. Learn more: https://go.microsoft.com/fwlink/?linkid=870924
Comment:
    Sales Growth of mid-teens expected for 2024-2029. </t>
      </text>
    </comment>
    <comment ref="B60" authorId="3" shapeId="0" xr:uid="{5A8BD516-82EB-421B-B18E-EE0EC4380FC8}">
      <text>
        <t xml:space="preserve">[Threaded comment]
Your version of Excel allows you to read this threaded comment; however, any edits to it will get removed if the file is opened in a newer version of Excel. Learn more: https://go.microsoft.com/fwlink/?linkid=870924
Comment:
    “Sustained future growth expected to be significantly ahead of 6-7%”
</t>
      </text>
    </comment>
    <comment ref="K66" authorId="4" shapeId="0" xr:uid="{188363AB-D18A-4568-8689-7C16C0C9DA9C}">
      <text>
        <t xml:space="preserve">[Threaded comment]
Your version of Excel allows you to read this threaded comment; however, any edits to it will get removed if the file is opened in a newer version of Excel. Learn more: https://go.microsoft.com/fwlink/?linkid=870924
Comment:
    2025e Based on Q1 and Q2 growth rates. Averaged them. </t>
      </text>
    </comment>
    <comment ref="B68" authorId="0" shapeId="0" xr:uid="{E7D42C39-ED86-48F1-89B0-198C1BFAAAB9}">
      <text>
        <r>
          <rPr>
            <b/>
            <sz val="9"/>
            <color indexed="81"/>
            <rFont val="Tahoma"/>
            <family val="2"/>
          </rPr>
          <t>Will Paraskeva:</t>
        </r>
        <r>
          <rPr>
            <sz val="9"/>
            <color indexed="81"/>
            <rFont val="Tahoma"/>
            <family val="2"/>
          </rPr>
          <t xml:space="preserve">
Excl synergies from acquisitions. Consensus forecasts don't give significant improvement. </t>
        </r>
      </text>
    </comment>
    <comment ref="B75" authorId="0" shapeId="0" xr:uid="{209CAAE1-FD14-4BF0-ACAD-8CB7881A9916}">
      <text>
        <r>
          <rPr>
            <b/>
            <sz val="9"/>
            <color indexed="81"/>
            <rFont val="Tahoma"/>
            <family val="2"/>
          </rPr>
          <t>Will Paraskeva:</t>
        </r>
        <r>
          <rPr>
            <sz val="9"/>
            <color indexed="81"/>
            <rFont val="Tahoma"/>
            <family val="2"/>
          </rPr>
          <t xml:space="preserve">
ERP to deliver 150 basis points of margin. BY 2026. Also includes backsolved $35mm of cost savings through restructurings which knocked c2% off of the margin </t>
        </r>
      </text>
    </comment>
    <comment ref="B78" authorId="0" shapeId="0" xr:uid="{7FC58F37-DFE1-4AF8-9E59-79DE0F7ECC42}">
      <text>
        <r>
          <rPr>
            <b/>
            <sz val="9"/>
            <color indexed="81"/>
            <rFont val="Tahoma"/>
            <family val="2"/>
          </rPr>
          <t>Will Paraskeva:</t>
        </r>
        <r>
          <rPr>
            <sz val="9"/>
            <color indexed="81"/>
            <rFont val="Tahoma"/>
            <family val="2"/>
          </rPr>
          <t xml:space="preserve">
Comes down to lower end of range. </t>
        </r>
      </text>
    </comment>
    <comment ref="B85" authorId="0" shapeId="0" xr:uid="{4AA3A0C9-4B63-4F51-9007-6C36E6853532}">
      <text>
        <r>
          <rPr>
            <b/>
            <sz val="9"/>
            <color indexed="81"/>
            <rFont val="Tahoma"/>
            <family val="2"/>
          </rPr>
          <t>Will Paraskeva:</t>
        </r>
        <r>
          <rPr>
            <sz val="9"/>
            <color indexed="81"/>
            <rFont val="Tahoma"/>
            <family val="2"/>
          </rPr>
          <t xml:space="preserve">
Data from JPM ER Report and Deal Announcement for SciAps. All synergies have run rate of 2 years (until 2026)
</t>
        </r>
      </text>
    </comment>
    <comment ref="B95" authorId="0" shapeId="0" xr:uid="{5C81998F-71DB-43F9-A495-4FDB150CB28A}">
      <text>
        <r>
          <rPr>
            <b/>
            <sz val="9"/>
            <color indexed="81"/>
            <rFont val="Tahoma"/>
            <family val="2"/>
          </rPr>
          <t>Will Paraskeva:</t>
        </r>
        <r>
          <rPr>
            <sz val="9"/>
            <color indexed="81"/>
            <rFont val="Tahoma"/>
            <family val="2"/>
          </rPr>
          <t xml:space="preserve">
Tax rate given in earnings presentation.  </t>
        </r>
      </text>
    </comment>
    <comment ref="B108" authorId="5" shapeId="0" xr:uid="{9EE68E2E-EAD7-461A-9BAE-3B4E877EC3AD}">
      <text>
        <t>[Threaded comment]
Your version of Excel allows you to read this threaded comment; however, any edits to it will get removed if the file is opened in a newer version of Excel. Learn more: https://go.microsoft.com/fwlink/?linkid=870924
Comment:
    Consensus Estimate. Capex not expected to grow too much
Reply:
    Slight revision upwards so their PPE isn’t reduced to 0</t>
      </text>
    </comment>
    <comment ref="B120" authorId="6" shapeId="0" xr:uid="{805EE150-B85C-456E-ABC4-196CA21B37B5}">
      <text>
        <t>[Threaded comment]
Your version of Excel allows you to read this threaded comment; however, any edits to it will get removed if the file is opened in a newer version of Excel. Learn more: https://go.microsoft.com/fwlink/?linkid=870924
Comment:
    Market-implied forward-looking yield curve (1 month)</t>
      </text>
    </comment>
    <comment ref="B136" authorId="7" shapeId="0" xr:uid="{11E155C5-897C-446A-90F7-2A44A0B56DDF}">
      <text>
        <r>
          <rPr>
            <b/>
            <sz val="9"/>
            <color indexed="81"/>
            <rFont val="Tahoma"/>
            <family val="2"/>
          </rPr>
          <t xml:space="preserve">Sathiya-Moorthi,P (ug):
3 Months OPEX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Will Paraskeva</author>
    <author>Paraskeva,W (ug)</author>
    <author>Sathiya-Moorthi,P (ug)</author>
  </authors>
  <commentList>
    <comment ref="B18" authorId="0" shapeId="0" xr:uid="{CDE78451-77E7-41E4-BC86-8F2500ECE48F}">
      <text>
        <r>
          <rPr>
            <b/>
            <sz val="9"/>
            <color indexed="81"/>
            <rFont val="Tahoma"/>
            <family val="2"/>
          </rPr>
          <t xml:space="preserve">Will Paraskeva:
Indirect engineering expenses. </t>
        </r>
      </text>
    </comment>
    <comment ref="B22" authorId="0" shapeId="0" xr:uid="{8F1E2698-8696-42B8-9734-8BEEE39A530E}">
      <text>
        <r>
          <rPr>
            <b/>
            <sz val="9"/>
            <color indexed="81"/>
            <rFont val="Tahoma"/>
            <family val="2"/>
          </rPr>
          <t>Will Paraskeva:</t>
        </r>
        <r>
          <rPr>
            <sz val="9"/>
            <color indexed="81"/>
            <rFont val="Tahoma"/>
            <family val="2"/>
          </rPr>
          <t xml:space="preserve">
Need to find depreciation as it isn't broken out. </t>
        </r>
      </text>
    </comment>
    <comment ref="B27" authorId="0" shapeId="0" xr:uid="{C745D8C6-35CB-4222-A438-78FC4045A9E8}">
      <text>
        <r>
          <rPr>
            <b/>
            <sz val="9"/>
            <color indexed="81"/>
            <rFont val="Tahoma"/>
            <family val="2"/>
          </rPr>
          <t>Will Paraskeva:</t>
        </r>
        <r>
          <rPr>
            <sz val="9"/>
            <color indexed="81"/>
            <rFont val="Tahoma"/>
            <family val="2"/>
          </rPr>
          <t xml:space="preserve">
Profits from disposals, equity investments, disposed business units. High in 2024A due to sale of Red Lion. I</t>
        </r>
      </text>
    </comment>
    <comment ref="K27" authorId="0" shapeId="0" xr:uid="{843646C6-58AC-403B-92CB-FFF8E11A137E}">
      <text>
        <r>
          <rPr>
            <b/>
            <sz val="9"/>
            <color indexed="81"/>
            <rFont val="Tahoma"/>
            <family val="2"/>
          </rPr>
          <t>Will Paraskeva:</t>
        </r>
        <r>
          <rPr>
            <sz val="9"/>
            <color indexed="81"/>
            <rFont val="Tahoma"/>
            <family val="2"/>
          </rPr>
          <t xml:space="preserve">
Expensing advisory fees here. </t>
        </r>
      </text>
    </comment>
    <comment ref="B50" authorId="0" shapeId="0" xr:uid="{CF65C6F9-8C93-4AFA-AD60-A7E45AD082B6}">
      <text>
        <r>
          <rPr>
            <b/>
            <sz val="9"/>
            <color indexed="81"/>
            <rFont val="Tahoma"/>
            <family val="2"/>
          </rPr>
          <t>Will Paraskeva:</t>
        </r>
        <r>
          <rPr>
            <sz val="9"/>
            <color indexed="81"/>
            <rFont val="Tahoma"/>
            <family val="2"/>
          </rPr>
          <t xml:space="preserve">
ROU Asset, deferred tax asset, equity and debt investments, Derivatives.</t>
        </r>
      </text>
    </comment>
    <comment ref="B64" authorId="0" shapeId="0" xr:uid="{677C813E-A668-4C10-A463-843709BDD5E5}">
      <text>
        <r>
          <rPr>
            <b/>
            <sz val="9"/>
            <color indexed="81"/>
            <rFont val="Tahoma"/>
            <family val="2"/>
          </rPr>
          <t>Will Paraskeva:</t>
        </r>
        <r>
          <rPr>
            <sz val="9"/>
            <color indexed="81"/>
            <rFont val="Tahoma"/>
            <family val="2"/>
          </rPr>
          <t xml:space="preserve">
Lease Liability, retirement benefit obligations, Deferred Tax, derivatives and provisitions. </t>
        </r>
      </text>
    </comment>
    <comment ref="B83" authorId="0" shapeId="0" xr:uid="{4D5FFC4F-5693-4C27-A116-8040B1E8FE62}">
      <text>
        <r>
          <rPr>
            <b/>
            <sz val="9"/>
            <color indexed="81"/>
            <rFont val="Tahoma"/>
            <family val="2"/>
          </rPr>
          <t>Will Paraskeva:</t>
        </r>
        <r>
          <rPr>
            <sz val="9"/>
            <color indexed="81"/>
            <rFont val="Tahoma"/>
            <family val="2"/>
          </rPr>
          <t xml:space="preserve">
Adjusted for interest and tax on raw CFS</t>
        </r>
      </text>
    </comment>
    <comment ref="B86" authorId="0" shapeId="0" xr:uid="{9A0C70FD-60C6-41CF-879E-D475D72368AA}">
      <text>
        <r>
          <rPr>
            <b/>
            <sz val="9"/>
            <color indexed="81"/>
            <rFont val="Tahoma"/>
            <family val="2"/>
          </rPr>
          <t>Will Paraskeva:</t>
        </r>
        <r>
          <rPr>
            <sz val="9"/>
            <color indexed="81"/>
            <rFont val="Tahoma"/>
            <family val="2"/>
          </rPr>
          <t xml:space="preserve">
P/L on Disposals. Equity Gains, Small Stock Based Compensation)</t>
        </r>
      </text>
    </comment>
    <comment ref="B92" authorId="0" shapeId="0" xr:uid="{2319A438-C0E6-481E-9E1C-AF70992BEA82}">
      <text>
        <r>
          <rPr>
            <b/>
            <sz val="9"/>
            <color indexed="81"/>
            <rFont val="Tahoma"/>
            <family val="2"/>
          </rPr>
          <t>Will Paraskeva:</t>
        </r>
        <r>
          <rPr>
            <sz val="9"/>
            <color indexed="81"/>
            <rFont val="Tahoma"/>
            <family val="2"/>
          </rPr>
          <t xml:space="preserve">
Proceeds from disposal of equity investments and interest income.</t>
        </r>
      </text>
    </comment>
    <comment ref="B111" authorId="0" shapeId="0" xr:uid="{FD8C6EF3-A359-4F5B-8DA6-EBF1285FE60A}">
      <text>
        <r>
          <rPr>
            <b/>
            <sz val="9"/>
            <color indexed="81"/>
            <rFont val="Tahoma"/>
            <family val="2"/>
          </rPr>
          <t>Will Paraskeva:</t>
        </r>
        <r>
          <rPr>
            <sz val="9"/>
            <color indexed="81"/>
            <rFont val="Tahoma"/>
            <family val="2"/>
          </rPr>
          <t xml:space="preserve">
Balancing Adjustment so Cash on BS matches cash in original years. Arises due to insufficient info in FS to fully balance.</t>
        </r>
      </text>
    </comment>
    <comment ref="B176" authorId="1" shapeId="0" xr:uid="{149D52FD-6080-4116-8E58-58801CF842E9}">
      <text>
        <r>
          <rPr>
            <b/>
            <sz val="9"/>
            <color indexed="81"/>
            <rFont val="Tahoma"/>
            <family val="2"/>
          </rPr>
          <t>Paraskeva,W (ug):</t>
        </r>
        <r>
          <rPr>
            <sz val="9"/>
            <color indexed="81"/>
            <rFont val="Tahoma"/>
            <family val="2"/>
          </rPr>
          <t xml:space="preserve">
Broken down from financial statements </t>
        </r>
      </text>
    </comment>
    <comment ref="B193" authorId="0" shapeId="0" xr:uid="{77FBE55E-C6C7-4BE5-AD57-C8A9D9CD7382}">
      <text>
        <r>
          <rPr>
            <b/>
            <sz val="9"/>
            <color indexed="81"/>
            <rFont val="Tahoma"/>
            <family val="2"/>
          </rPr>
          <t>Will Paraskeva:</t>
        </r>
        <r>
          <rPr>
            <sz val="9"/>
            <color indexed="81"/>
            <rFont val="Tahoma"/>
            <family val="2"/>
          </rPr>
          <t xml:space="preserve">
Happy to just keep these constant. Cashflow impact will be minimal regardless.</t>
        </r>
      </text>
    </comment>
    <comment ref="B197" authorId="0" shapeId="0" xr:uid="{9D063108-B4EE-42F9-962F-B36EE3098AE5}">
      <text>
        <r>
          <rPr>
            <b/>
            <sz val="9"/>
            <color indexed="81"/>
            <rFont val="Tahoma"/>
            <family val="2"/>
          </rPr>
          <t>Will Paraskeva:</t>
        </r>
        <r>
          <rPr>
            <sz val="9"/>
            <color indexed="81"/>
            <rFont val="Tahoma"/>
            <family val="2"/>
          </rPr>
          <t xml:space="preserve">
Happy to keep constant as minimal/unpredictable cashflow impact. </t>
        </r>
      </text>
    </comment>
    <comment ref="B257" authorId="2" shapeId="0" xr:uid="{5FEBB8EA-615D-407D-9300-E1A1D7C9DE15}">
      <text>
        <r>
          <rPr>
            <b/>
            <sz val="9"/>
            <color indexed="81"/>
            <rFont val="Tahoma"/>
            <family val="2"/>
          </rPr>
          <t>Sathiya-Moorthi,P (ug):</t>
        </r>
        <r>
          <rPr>
            <sz val="9"/>
            <color indexed="81"/>
            <rFont val="Tahoma"/>
            <family val="2"/>
          </rPr>
          <t xml:space="preserve">
2025 Divideneds are staying constant. Not going to pay dividends 2026
</t>
        </r>
      </text>
    </comment>
    <comment ref="B264" authorId="2" shapeId="0" xr:uid="{063BF0EC-F0D4-499A-AD35-E22BFBB3E038}">
      <text>
        <r>
          <rPr>
            <b/>
            <sz val="9"/>
            <color indexed="81"/>
            <rFont val="Tahoma"/>
            <family val="2"/>
          </rPr>
          <t>Sathiya-Moorthi,P (ug):</t>
        </r>
        <r>
          <rPr>
            <sz val="9"/>
            <color indexed="81"/>
            <rFont val="Tahoma"/>
            <family val="2"/>
          </rPr>
          <t xml:space="preserve">
This is for calculating the average interest expense in the year of acquistion. Some debt rrepayments made by Spectris in final quarter prior to acquisition</t>
        </r>
      </text>
    </comment>
    <comment ref="B271" authorId="0" shapeId="0" xr:uid="{2D86E834-EED4-4DAC-8C22-2887795CD10D}">
      <text>
        <r>
          <rPr>
            <b/>
            <sz val="9"/>
            <color indexed="81"/>
            <rFont val="Tahoma"/>
            <family val="2"/>
          </rPr>
          <t>Will Paraskeva:</t>
        </r>
        <r>
          <rPr>
            <sz val="9"/>
            <color indexed="81"/>
            <rFont val="Tahoma"/>
            <family val="2"/>
          </rPr>
          <t xml:space="preserve">
Fiscal year ends 31st Dec so 2025 is just a normal year of debt repayment/issuance. </t>
        </r>
      </text>
    </comment>
    <comment ref="E352" authorId="0" shapeId="0" xr:uid="{48E7C1BB-57A4-4A18-BC3E-48AA85855571}">
      <text>
        <r>
          <rPr>
            <b/>
            <sz val="9"/>
            <color indexed="81"/>
            <rFont val="Tahoma"/>
            <family val="2"/>
          </rPr>
          <t>Will Paraskeva:</t>
        </r>
        <r>
          <rPr>
            <sz val="9"/>
            <color indexed="81"/>
            <rFont val="Tahoma"/>
            <family val="2"/>
          </rPr>
          <t xml:space="preserve">
Cash sweep is for remaining cash after term loan B1 cash flow sweep is fulfilled.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Will Paraskeva</author>
  </authors>
  <commentList>
    <comment ref="B50" authorId="0" shapeId="0" xr:uid="{72EDBB3E-A930-4CF7-BF9A-D543031ABC9A}">
      <text>
        <r>
          <rPr>
            <b/>
            <sz val="9"/>
            <color indexed="81"/>
            <rFont val="Tahoma"/>
            <family val="2"/>
          </rPr>
          <t>Will Paraskeva:</t>
        </r>
        <r>
          <rPr>
            <sz val="9"/>
            <color indexed="81"/>
            <rFont val="Tahoma"/>
            <family val="2"/>
          </rPr>
          <t xml:space="preserve">
What to do with this hmmm</t>
        </r>
      </text>
    </comment>
    <comment ref="B83" authorId="0" shapeId="0" xr:uid="{A8F51DA0-A21D-4436-BBFB-974F4028A04A}">
      <text>
        <r>
          <rPr>
            <b/>
            <sz val="9"/>
            <color indexed="81"/>
            <rFont val="Tahoma"/>
            <family val="2"/>
          </rPr>
          <t>Will Paraskeva:</t>
        </r>
        <r>
          <rPr>
            <sz val="9"/>
            <color indexed="81"/>
            <rFont val="Tahoma"/>
            <family val="2"/>
          </rPr>
          <t xml:space="preserve">
Very low leverage historically .</t>
        </r>
      </text>
    </comment>
    <comment ref="G83" authorId="0" shapeId="0" xr:uid="{9742C369-0A1B-4A72-93B6-6628861855A2}">
      <text>
        <r>
          <rPr>
            <b/>
            <sz val="9"/>
            <color indexed="81"/>
            <rFont val="Tahoma"/>
            <family val="2"/>
          </rPr>
          <t>Will Paraskeva:</t>
        </r>
        <r>
          <rPr>
            <sz val="9"/>
            <color indexed="81"/>
            <rFont val="Tahoma"/>
            <family val="2"/>
          </rPr>
          <t xml:space="preserve">
Investigate this transaction</t>
        </r>
      </text>
    </comment>
    <comment ref="B246" authorId="0" shapeId="0" xr:uid="{03335E58-59B4-4EA2-9212-024DD29F971B}">
      <text>
        <r>
          <rPr>
            <b/>
            <sz val="9"/>
            <color indexed="81"/>
            <rFont val="Tahoma"/>
            <family val="2"/>
          </rPr>
          <t>Will Paraskeva:</t>
        </r>
        <r>
          <rPr>
            <sz val="9"/>
            <color indexed="81"/>
            <rFont val="Tahoma"/>
            <family val="2"/>
          </rPr>
          <t xml:space="preserve">
Includes semiconductor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<sst xmlns="http://schemas.openxmlformats.org/spreadsheetml/2006/main" count="1019" uniqueCount="575">
  <si>
    <t>Spectris LBO Model</t>
  </si>
  <si>
    <t>https://www.lsepes.com/reports</t>
  </si>
  <si>
    <t>https://www.linkedin.com/company/lsesu-private-equity-society/</t>
  </si>
  <si>
    <t>(x)</t>
  </si>
  <si>
    <t>Purchase Price</t>
  </si>
  <si>
    <t>Sources and Uses of Cash</t>
  </si>
  <si>
    <t>All figures in £GBP mm, except on a per share basis</t>
  </si>
  <si>
    <t>EBITDA Multiples</t>
  </si>
  <si>
    <t>Sources</t>
  </si>
  <si>
    <t>Amount</t>
  </si>
  <si>
    <t>Multiple</t>
  </si>
  <si>
    <t>Uses</t>
  </si>
  <si>
    <t>Entry EV / EBITDA (Implied)</t>
  </si>
  <si>
    <t>Cash</t>
  </si>
  <si>
    <t>Equity offer Value</t>
  </si>
  <si>
    <t>Exit EV / EBITDA</t>
  </si>
  <si>
    <t>Revolving Credit Facility</t>
  </si>
  <si>
    <t>Debt Refinancing</t>
  </si>
  <si>
    <t>EBITDA</t>
  </si>
  <si>
    <t>Term Loan EUR</t>
  </si>
  <si>
    <t>Fees</t>
  </si>
  <si>
    <t>Assume Entry mult = Exit mult</t>
  </si>
  <si>
    <t>Term Loan USD</t>
  </si>
  <si>
    <t>Total Uses</t>
  </si>
  <si>
    <t>Equity Contribution</t>
  </si>
  <si>
    <t>Enterprise and Equity Offer Value</t>
  </si>
  <si>
    <t>Total Sources</t>
  </si>
  <si>
    <t>Implied Equity Offer Value</t>
  </si>
  <si>
    <t>Cash for LTIP, options, phantom shares</t>
  </si>
  <si>
    <t>Adjusted Implied Equity Offer Value</t>
  </si>
  <si>
    <t>Short-Term Borrowings</t>
  </si>
  <si>
    <t>Long-Term Borrowings</t>
  </si>
  <si>
    <t>Total Debt</t>
  </si>
  <si>
    <t>Cash &amp; Equivalents</t>
  </si>
  <si>
    <t>Minority Interest</t>
  </si>
  <si>
    <t>Net Debt</t>
  </si>
  <si>
    <t>Implied Enterprise Value Offer</t>
  </si>
  <si>
    <t>Shares Outstanding</t>
  </si>
  <si>
    <t>Share Price Offer</t>
  </si>
  <si>
    <t>Unaffected Share Price</t>
  </si>
  <si>
    <t>Premium / (Discount)</t>
  </si>
  <si>
    <t>Overview</t>
  </si>
  <si>
    <t>Equity Investment</t>
  </si>
  <si>
    <t>Internal Rate of Return (IRR)</t>
  </si>
  <si>
    <t>Multiple on Invested Capital (MOIC)</t>
  </si>
  <si>
    <t>Credit Metrics</t>
  </si>
  <si>
    <t>Financial Projections</t>
  </si>
  <si>
    <t>Tax Expense</t>
  </si>
  <si>
    <t>CapEx</t>
  </si>
  <si>
    <t>CapEx, % of Revenue</t>
  </si>
  <si>
    <t>Total Interest Expense</t>
  </si>
  <si>
    <t xml:space="preserve">Mandatory Principal Repayments </t>
  </si>
  <si>
    <t>Total Principal Repayments</t>
  </si>
  <si>
    <t>Net debt</t>
  </si>
  <si>
    <t>EBITDA Margin</t>
  </si>
  <si>
    <t>Total Debt/EBITDA</t>
  </si>
  <si>
    <t>Debt Service Coverage Ratio</t>
  </si>
  <si>
    <t>EBITDA Growth and Debt Paydown (£ millions)</t>
  </si>
  <si>
    <t xml:space="preserve">Credit Metrics </t>
  </si>
  <si>
    <t>Return Analysis</t>
  </si>
  <si>
    <t>IRR and MOIC (Exit Multiple)</t>
  </si>
  <si>
    <t>Equity Returns by Investment Horizon</t>
  </si>
  <si>
    <t>Exit Multiple</t>
  </si>
  <si>
    <t>IRR</t>
  </si>
  <si>
    <t>MOIC</t>
  </si>
  <si>
    <t>Miscellaneous</t>
  </si>
  <si>
    <t>Revenue Growth</t>
  </si>
  <si>
    <t>Revenue</t>
  </si>
  <si>
    <t>CAGR</t>
  </si>
  <si>
    <t>EBITDA Growth</t>
  </si>
  <si>
    <t>Financing terms</t>
  </si>
  <si>
    <t>SciAps &amp; Micrometrics Revenue Growth</t>
  </si>
  <si>
    <t>Costs and Margins</t>
  </si>
  <si>
    <t xml:space="preserve">Data </t>
  </si>
  <si>
    <t>Historical Leverage</t>
  </si>
  <si>
    <t>Raw Data</t>
  </si>
  <si>
    <t>Interest Expense</t>
  </si>
  <si>
    <t>EBIT (Excl Disposals)</t>
  </si>
  <si>
    <t xml:space="preserve"> </t>
  </si>
  <si>
    <t>Coverage Ratios</t>
  </si>
  <si>
    <t>Interest Coverage Ratio</t>
  </si>
  <si>
    <t>Total Debt to EBITDA</t>
  </si>
  <si>
    <t>Margin Reduction</t>
  </si>
  <si>
    <t>SG&amp;A Margin</t>
  </si>
  <si>
    <t>Total SG&amp;A</t>
  </si>
  <si>
    <t>Investor Returns</t>
  </si>
  <si>
    <t>Sensitivity Inputs</t>
  </si>
  <si>
    <t>Entry EV/EBITDA</t>
  </si>
  <si>
    <t>Exit EV/EBITDA</t>
  </si>
  <si>
    <t>KKR x Spectris Entry Multiple</t>
  </si>
  <si>
    <t>Teledyne (test &amp; measurement peer)</t>
  </si>
  <si>
    <t>Danaher (tools &amp; diagnostics peer)</t>
  </si>
  <si>
    <t>Sector Median (industrial tech)</t>
  </si>
  <si>
    <t>x</t>
  </si>
  <si>
    <t>Equity % Used</t>
  </si>
  <si>
    <t>Debt % Used</t>
  </si>
  <si>
    <t>Other inputs</t>
  </si>
  <si>
    <t>General Inputs</t>
  </si>
  <si>
    <t>%</t>
  </si>
  <si>
    <t>£mn</t>
  </si>
  <si>
    <t>Year Fraction</t>
  </si>
  <si>
    <t>First Forecast Fiscal Year</t>
  </si>
  <si>
    <t>Debt Restructuring</t>
  </si>
  <si>
    <t xml:space="preserve">Fiscal Year End </t>
  </si>
  <si>
    <t>Debt financing</t>
  </si>
  <si>
    <t>Transaction Close Date</t>
  </si>
  <si>
    <t>Advisory / Closing Fees</t>
  </si>
  <si>
    <t>First Year of Forecast</t>
  </si>
  <si>
    <t>Total Fees</t>
  </si>
  <si>
    <t>Assumed Exchange Rate ($ to £)</t>
  </si>
  <si>
    <t>Days in Period</t>
  </si>
  <si>
    <t>Effective Tax Rate</t>
  </si>
  <si>
    <t xml:space="preserve">Minimum Cash Balance </t>
  </si>
  <si>
    <t>Stub Period Post-Deal</t>
  </si>
  <si>
    <t>Financing Assumptions</t>
  </si>
  <si>
    <t>Issuance</t>
  </si>
  <si>
    <t>Standby</t>
  </si>
  <si>
    <t>SOFR/EURIBOR</t>
  </si>
  <si>
    <t>Type of Financing</t>
  </si>
  <si>
    <t>Percent</t>
  </si>
  <si>
    <t>Limit</t>
  </si>
  <si>
    <t>Fee % (including OID)</t>
  </si>
  <si>
    <t>Fee</t>
  </si>
  <si>
    <t>Spread</t>
  </si>
  <si>
    <t>N/A</t>
  </si>
  <si>
    <t>Revolving Credit Line</t>
  </si>
  <si>
    <t>Term Loan EUR (Facility B1)</t>
  </si>
  <si>
    <t>Term Loan USD (Facility B2)</t>
  </si>
  <si>
    <t xml:space="preserve">Equity Contribution </t>
  </si>
  <si>
    <t xml:space="preserve"> Cash </t>
  </si>
  <si>
    <t>Mandatory Principal Repayment</t>
  </si>
  <si>
    <t>Debt Type</t>
  </si>
  <si>
    <t>Sweep</t>
  </si>
  <si>
    <t>Year 0</t>
  </si>
  <si>
    <t>Year 1</t>
  </si>
  <si>
    <t>Year 2</t>
  </si>
  <si>
    <t>Year 3</t>
  </si>
  <si>
    <t>Year 4</t>
  </si>
  <si>
    <t>Year 5</t>
  </si>
  <si>
    <t>Year 6</t>
  </si>
  <si>
    <t>Revolving Credit line</t>
  </si>
  <si>
    <t>Opening Revolver Balance</t>
  </si>
  <si>
    <t>Repayment/Issuance</t>
  </si>
  <si>
    <t xml:space="preserve">Closing Revolver Balance </t>
  </si>
  <si>
    <t>Interest Rate</t>
  </si>
  <si>
    <t>Organic Revenue Assumptions</t>
  </si>
  <si>
    <t>Driver Switch</t>
  </si>
  <si>
    <t>Forecast Period</t>
  </si>
  <si>
    <t>Revenue By End Market</t>
  </si>
  <si>
    <t>Life Sciences &amp; Pharma Growth %</t>
  </si>
  <si>
    <t xml:space="preserve">Bull </t>
  </si>
  <si>
    <t>Base</t>
  </si>
  <si>
    <t>Bear</t>
  </si>
  <si>
    <t>Tech Led Industrials Growth %</t>
  </si>
  <si>
    <t>Electronics &amp; Semiconductor Growth %</t>
  </si>
  <si>
    <t>Mining and Materials Growth %</t>
  </si>
  <si>
    <t>Automotive Growth %</t>
  </si>
  <si>
    <t>Academia Growth %</t>
  </si>
  <si>
    <t>Other Growth %</t>
  </si>
  <si>
    <t>Inorganic Revenue Assumptions</t>
  </si>
  <si>
    <t>Micrometrics CAGR</t>
  </si>
  <si>
    <t>SciAps CAGR</t>
  </si>
  <si>
    <t>Income Statement Assumptions</t>
  </si>
  <si>
    <t>COGS Margin</t>
  </si>
  <si>
    <t xml:space="preserve">SGA Margin </t>
  </si>
  <si>
    <t>Other OPEX % Revenue</t>
  </si>
  <si>
    <t>D&amp;A % Revenue</t>
  </si>
  <si>
    <t>SciAps Cost Synergies (£mm)</t>
  </si>
  <si>
    <t>Micrometrics Acquisition Synergies (£mm)</t>
  </si>
  <si>
    <t>Assumed Tax Rate</t>
  </si>
  <si>
    <t>Working Capital &amp; Other Balance Sheet Assumptions</t>
  </si>
  <si>
    <t>Working Capital</t>
  </si>
  <si>
    <t>Trade Payable Days</t>
  </si>
  <si>
    <t>Trade Receivable Days</t>
  </si>
  <si>
    <t>Accruals % COGS</t>
  </si>
  <si>
    <t>Prepayments % COGS</t>
  </si>
  <si>
    <t xml:space="preserve">Inventory Days </t>
  </si>
  <si>
    <t>CAPEX % Revenue</t>
  </si>
  <si>
    <t>Other Current Assets % Revenue</t>
  </si>
  <si>
    <t>Other Current Liabilities % Revenue</t>
  </si>
  <si>
    <t>Financing Assumptions &amp; Drivers</t>
  </si>
  <si>
    <t xml:space="preserve">Blended Interest Rate for Existing Debt </t>
  </si>
  <si>
    <t>Secured Overnight Financing Rate (SOFR)</t>
  </si>
  <si>
    <t>¬</t>
  </si>
  <si>
    <t>Euro Interbank Offered Rate (EURIBOR)</t>
  </si>
  <si>
    <t>Sterling Overnight Index Average (SONIA)</t>
  </si>
  <si>
    <t>Revolving credit Facility</t>
  </si>
  <si>
    <t>Spread (EURIBOR)</t>
  </si>
  <si>
    <t>Spread (SOFR)</t>
  </si>
  <si>
    <t>Financing Fees Ammortisation</t>
  </si>
  <si>
    <t>Duration of Loan (Years)</t>
  </si>
  <si>
    <t>Stub Period</t>
  </si>
  <si>
    <t xml:space="preserve">End of Period </t>
  </si>
  <si>
    <t xml:space="preserve">Fraction of Year </t>
  </si>
  <si>
    <t xml:space="preserve">Income Statement </t>
  </si>
  <si>
    <t>All figures in £GBP mm unless stated</t>
  </si>
  <si>
    <t xml:space="preserve">COGS </t>
  </si>
  <si>
    <t>Gross Profit</t>
  </si>
  <si>
    <t>SGA</t>
  </si>
  <si>
    <t>Other Expenses</t>
  </si>
  <si>
    <t>EBITDA Margin %</t>
  </si>
  <si>
    <t>D&amp;A</t>
  </si>
  <si>
    <t>Operating Profit</t>
  </si>
  <si>
    <t>Interest Income</t>
  </si>
  <si>
    <t>Other Income/Expense</t>
  </si>
  <si>
    <t xml:space="preserve">EBT </t>
  </si>
  <si>
    <t>Taxes Payable</t>
  </si>
  <si>
    <t>Net Income</t>
  </si>
  <si>
    <t>Balance Sheet</t>
  </si>
  <si>
    <t>Current Assets</t>
  </si>
  <si>
    <t>Trade Receivables</t>
  </si>
  <si>
    <t>Inventory</t>
  </si>
  <si>
    <t>Other Current Assets</t>
  </si>
  <si>
    <t>Total Current Assets</t>
  </si>
  <si>
    <t>Non-Current Assets</t>
  </si>
  <si>
    <t>PPE &amp; Intangibles</t>
  </si>
  <si>
    <t>Goodwill</t>
  </si>
  <si>
    <t>Other Non-Current Assets</t>
  </si>
  <si>
    <t>Total Non-Current Assets</t>
  </si>
  <si>
    <t>Total Assets</t>
  </si>
  <si>
    <t>Current Liabilities</t>
  </si>
  <si>
    <t>Trade Payables</t>
  </si>
  <si>
    <t>Other Current Liabilities</t>
  </si>
  <si>
    <t>Total Current Liabilities</t>
  </si>
  <si>
    <t>Non-Current Liabilities</t>
  </si>
  <si>
    <t>Long-term Borrowings</t>
  </si>
  <si>
    <t>Other Non-Current liabilities</t>
  </si>
  <si>
    <t>Total Non-Current Liabilities</t>
  </si>
  <si>
    <t>Total Liabilities</t>
  </si>
  <si>
    <t>Shareholders' Equity</t>
  </si>
  <si>
    <t>Share Capital &amp; Premium</t>
  </si>
  <si>
    <t>Retained Earnings</t>
  </si>
  <si>
    <t>Total Shareholder's Equity</t>
  </si>
  <si>
    <t>Total Liabilities and Shareholders' Equity</t>
  </si>
  <si>
    <t>Check</t>
  </si>
  <si>
    <t>Cash Flow Statement</t>
  </si>
  <si>
    <t>Cash From Operations</t>
  </si>
  <si>
    <t>Cash From NWC</t>
  </si>
  <si>
    <t>Other Adjustments</t>
  </si>
  <si>
    <t>Total Cash From Operations</t>
  </si>
  <si>
    <t>Cash From Investing</t>
  </si>
  <si>
    <t>CAPEX</t>
  </si>
  <si>
    <t>Acquistions and Disposals</t>
  </si>
  <si>
    <t>Net Non-Operating Income</t>
  </si>
  <si>
    <t>Total Cash From Investing</t>
  </si>
  <si>
    <t>Cash From Financing</t>
  </si>
  <si>
    <t>Existing Acquisition-Related Equity (Purchase)</t>
  </si>
  <si>
    <t>Existing Debt Issuance/(Repayment)</t>
  </si>
  <si>
    <t>Other Financing Cash Flows</t>
  </si>
  <si>
    <t>Dividends &amp; Share Buybacks</t>
  </si>
  <si>
    <t>KKR Equity Injection</t>
  </si>
  <si>
    <t>Cash Used for Acquisition</t>
  </si>
  <si>
    <t>Revolving Credit Line Issuance/(Repayment)</t>
  </si>
  <si>
    <t>Termloan B1 Issuance/(Repayment)</t>
  </si>
  <si>
    <t>Termloan B2 Issuance/(Repayment)</t>
  </si>
  <si>
    <t>Debt Issuance Fees</t>
  </si>
  <si>
    <t>Advisory Fees</t>
  </si>
  <si>
    <t>Total Cash From Financing</t>
  </si>
  <si>
    <t>FX Effects</t>
  </si>
  <si>
    <t>Cash Balance</t>
  </si>
  <si>
    <t>Beginning Cash Balance</t>
  </si>
  <si>
    <t>Net Change in Cash</t>
  </si>
  <si>
    <t>Ending Cash Balance</t>
  </si>
  <si>
    <t>Revenue Schedule</t>
  </si>
  <si>
    <t>Assumed Exchange Rate ($ to £):</t>
  </si>
  <si>
    <t>Organic Revenue Growth</t>
  </si>
  <si>
    <t>Life Sciences &amp; Pharma</t>
  </si>
  <si>
    <t>Growth Rate %</t>
  </si>
  <si>
    <t>Tech-led Industrials</t>
  </si>
  <si>
    <t>Electronics &amp; Semiconductor</t>
  </si>
  <si>
    <t>Mining &amp; Materials</t>
  </si>
  <si>
    <t>Automotive</t>
  </si>
  <si>
    <t>Academic</t>
  </si>
  <si>
    <t>Other</t>
  </si>
  <si>
    <t>Total Organic Revenue</t>
  </si>
  <si>
    <t>Inorganic Revnue Growth</t>
  </si>
  <si>
    <t>Micrometrics Revenue</t>
  </si>
  <si>
    <t>SciApps Revenue</t>
  </si>
  <si>
    <t>Total Inorganic Revenue</t>
  </si>
  <si>
    <t>Total Revenue</t>
  </si>
  <si>
    <t>Growth %</t>
  </si>
  <si>
    <t>Cost Schedule</t>
  </si>
  <si>
    <t>Total COGS</t>
  </si>
  <si>
    <t>SGA Margin</t>
  </si>
  <si>
    <t>Organic SGA</t>
  </si>
  <si>
    <t>SciAps Synergies</t>
  </si>
  <si>
    <t>Micrometrics Synergies</t>
  </si>
  <si>
    <t>SGA Synergies</t>
  </si>
  <si>
    <t xml:space="preserve">Total SGA </t>
  </si>
  <si>
    <t>Other Expense Margin</t>
  </si>
  <si>
    <t>Total Other Expenses</t>
  </si>
  <si>
    <t xml:space="preserve">Assumed Tax Rate </t>
  </si>
  <si>
    <t>Working Capital &amp; Other BS Items Schedule</t>
  </si>
  <si>
    <t>Balance Sheet Values</t>
  </si>
  <si>
    <t>COGS</t>
  </si>
  <si>
    <t>Prepayments &amp; Other Receivables</t>
  </si>
  <si>
    <t>Total Trade &amp; Other Receivables</t>
  </si>
  <si>
    <t>Accruals &amp; Other Paybles</t>
  </si>
  <si>
    <t>Total Trade &amp; Other Payables</t>
  </si>
  <si>
    <t xml:space="preserve">Other Non-Current Assets </t>
  </si>
  <si>
    <t>Other Non-Current Liabilities</t>
  </si>
  <si>
    <t xml:space="preserve">Days </t>
  </si>
  <si>
    <t>Cash Flow Impact</t>
  </si>
  <si>
    <t>Change in Inventory (-)</t>
  </si>
  <si>
    <t>Change in Trade &amp; Other Receivables (-)</t>
  </si>
  <si>
    <t>Change in Trade &amp; Other Payables</t>
  </si>
  <si>
    <t>Net Cash Impact of NWC</t>
  </si>
  <si>
    <t xml:space="preserve">Change in Other Current Assets </t>
  </si>
  <si>
    <t xml:space="preserve">Change in Other Non-Current Assets </t>
  </si>
  <si>
    <t xml:space="preserve">Change in Other Current Liabilities </t>
  </si>
  <si>
    <t>Change in Other Non-Current Assets</t>
  </si>
  <si>
    <t>Net Other Operating Activities</t>
  </si>
  <si>
    <t>CAPEX Schedule</t>
  </si>
  <si>
    <t>Starting PPE and Intangibles</t>
  </si>
  <si>
    <t xml:space="preserve">D&amp;A </t>
  </si>
  <si>
    <t>Ending PPE and Intangibles</t>
  </si>
  <si>
    <t>Equity Schedule</t>
  </si>
  <si>
    <t>Retained Earnings Schedule</t>
  </si>
  <si>
    <t>Beginning Retained Earnings</t>
  </si>
  <si>
    <t>Net Income (+)</t>
  </si>
  <si>
    <t>Dividends  (-)</t>
  </si>
  <si>
    <t>Acquisition Related Advisory Fees</t>
  </si>
  <si>
    <t>Ending Retained Earnings</t>
  </si>
  <si>
    <t>Starting Equity</t>
  </si>
  <si>
    <t>Equity Repurchase/Issuance</t>
  </si>
  <si>
    <t>Acquisition Related Equity Purchase</t>
  </si>
  <si>
    <t>Ending Equity</t>
  </si>
  <si>
    <t>X</t>
  </si>
  <si>
    <t>Debt Schedule: Part 1 (Pre Acquisition)</t>
  </si>
  <si>
    <t>Partial Period Adjustment</t>
  </si>
  <si>
    <t>Existing LT Debt</t>
  </si>
  <si>
    <t>Opening Cash Balance</t>
  </si>
  <si>
    <t>Cash from Operations</t>
  </si>
  <si>
    <t>Cash from Investing</t>
  </si>
  <si>
    <t>Mandatory Debt Issuance/Repurchase</t>
  </si>
  <si>
    <t>Mandatory Equity Issuance/Repurchase</t>
  </si>
  <si>
    <t>Payment of Dividends</t>
  </si>
  <si>
    <t>Minimum Cash Balance</t>
  </si>
  <si>
    <t xml:space="preserve">Cash Available/(Required) for Existing Debt </t>
  </si>
  <si>
    <t>Existing ST Debt</t>
  </si>
  <si>
    <t>Beginning Debt Balance ST</t>
  </si>
  <si>
    <t xml:space="preserve">Issuance/(Repayment) ST </t>
  </si>
  <si>
    <t>Closing Balance</t>
  </si>
  <si>
    <t>ST Interest Rate</t>
  </si>
  <si>
    <t>Circularity</t>
  </si>
  <si>
    <t>ST Interest Payable</t>
  </si>
  <si>
    <t>Cash Available for LT Debt:</t>
  </si>
  <si>
    <t xml:space="preserve">Existing LT Debt </t>
  </si>
  <si>
    <t>Beginning Debt Balance LT</t>
  </si>
  <si>
    <t>Issuance/(Repayment) LT</t>
  </si>
  <si>
    <t>LT Interest Rate</t>
  </si>
  <si>
    <t>LT Interest Payable</t>
  </si>
  <si>
    <t xml:space="preserve">Existing Debt Interest Payable </t>
  </si>
  <si>
    <t>Assumed Interest Rate</t>
  </si>
  <si>
    <t>Debt Schedule: Part 2: (Revolving Credit Facility)</t>
  </si>
  <si>
    <t>Cash Available/(Required) for Revolver</t>
  </si>
  <si>
    <t>Revolving Credit Facility Drawn</t>
  </si>
  <si>
    <t>(Repayment)/Issuance</t>
  </si>
  <si>
    <t>Revolving Credit Facility Undrawn</t>
  </si>
  <si>
    <t>Opening Undrawn Balance</t>
  </si>
  <si>
    <t>(Additions)/Repayments</t>
  </si>
  <si>
    <t>Closing Undrawn Balance</t>
  </si>
  <si>
    <t xml:space="preserve">Revolving Credit Standby Fee </t>
  </si>
  <si>
    <t>Fees Incurred</t>
  </si>
  <si>
    <t>Cash Available/(Required) After Revolving Credit Line Issuance/Paydown</t>
  </si>
  <si>
    <t>Debt Schedule: Part 3: Term Loans</t>
  </si>
  <si>
    <r>
      <t>(</t>
    </r>
    <r>
      <rPr>
        <sz val="11"/>
        <color theme="1"/>
        <rFont val="Aptos Narrow"/>
        <family val="2"/>
        <scheme val="minor"/>
      </rPr>
      <t>Assumed discretionary repayments split equally between term loan facilities)</t>
    </r>
  </si>
  <si>
    <t>Cash Available After Revolving Credit Line Pay Down</t>
  </si>
  <si>
    <t>Total Cash Available For Discretionary Term Loan Repayments</t>
  </si>
  <si>
    <t>Discretionary Cash for B1</t>
  </si>
  <si>
    <t>Discretionary Cash for B2</t>
  </si>
  <si>
    <t>Term Loan B1 (EUR)</t>
  </si>
  <si>
    <t>Loan Amortisation</t>
  </si>
  <si>
    <t>Beginning Balance</t>
  </si>
  <si>
    <t>Mandatory Repayments</t>
  </si>
  <si>
    <t>Cash Sweep</t>
  </si>
  <si>
    <t>Discretionary Repayments</t>
  </si>
  <si>
    <t>Ending Balance</t>
  </si>
  <si>
    <t>Term Loan B2 (USD)</t>
  </si>
  <si>
    <t>Closing Cash Blanace</t>
  </si>
  <si>
    <t xml:space="preserve">Post-Acquisition Interest Income </t>
  </si>
  <si>
    <t xml:space="preserve">Debt Schedule: Part 4: Fees </t>
  </si>
  <si>
    <t>Opening Balance</t>
  </si>
  <si>
    <t>Ammortisation of Contra-Liability</t>
  </si>
  <si>
    <t xml:space="preserve">Debt Schedule: Summary </t>
  </si>
  <si>
    <t>Long Term Debt</t>
  </si>
  <si>
    <t>Existing LT Debt Issuance/(Repayment)</t>
  </si>
  <si>
    <t>Term Loan EUR Issuance/(Repayment)</t>
  </si>
  <si>
    <t>Term Loan USD Issuance/(Repayment)</t>
  </si>
  <si>
    <t>Contra Liability Relating to Fees</t>
  </si>
  <si>
    <t>Net LT Debt</t>
  </si>
  <si>
    <t xml:space="preserve">Short Term Debt </t>
  </si>
  <si>
    <t>Existing ST Debt Issuance/(Repayment)</t>
  </si>
  <si>
    <t>Revolver Issuance/(Repayment)</t>
  </si>
  <si>
    <t>Interest Expense (Including Pre-Acquisition)</t>
  </si>
  <si>
    <t>Interest Income ( Including Pre-Acquisition)</t>
  </si>
  <si>
    <t>Equity Returns Schedule</t>
  </si>
  <si>
    <t>Close</t>
  </si>
  <si>
    <t>All figures in $GBP millions unless stated otherwise</t>
  </si>
  <si>
    <t>Transaction Date</t>
  </si>
  <si>
    <t>(DD-MM-YY)</t>
  </si>
  <si>
    <t>Enterprise Value</t>
  </si>
  <si>
    <t>Debt Balance</t>
  </si>
  <si>
    <t>Total Net Debt</t>
  </si>
  <si>
    <t>Equity Value</t>
  </si>
  <si>
    <t>Equity Investor</t>
  </si>
  <si>
    <t>Share Price Timeline</t>
  </si>
  <si>
    <t>Pricing Date</t>
  </si>
  <si>
    <t>SXS | Share Price (Daily)(£)</t>
  </si>
  <si>
    <t>SXS | Volume (Daily)</t>
  </si>
  <si>
    <t>w15</t>
  </si>
  <si>
    <t>Debt Schedule: Part 1 (Before Acquisition)</t>
  </si>
  <si>
    <t>WE NEED A STUB</t>
  </si>
  <si>
    <t xml:space="preserve">Replace Equity Capital with KKR's </t>
  </si>
  <si>
    <t>Date</t>
  </si>
  <si>
    <t>Spectris share price</t>
  </si>
  <si>
    <t>Rivalry</t>
  </si>
  <si>
    <t>New Entrants</t>
  </si>
  <si>
    <t>Buyer Power</t>
  </si>
  <si>
    <t>Supplier Power</t>
  </si>
  <si>
    <t>Substitutes</t>
  </si>
  <si>
    <t>Case / Company</t>
  </si>
  <si>
    <t>EV/EBITDA (x)</t>
  </si>
  <si>
    <t>Revenue Stream</t>
  </si>
  <si>
    <t>% of Revenue</t>
  </si>
  <si>
    <t>Spectris pre‑approach(implied)</t>
  </si>
  <si>
    <t>Equipment Sales</t>
  </si>
  <si>
    <t>Sector median (Industrial tech)</t>
  </si>
  <si>
    <t>Aftermarket Services</t>
  </si>
  <si>
    <t>Software &amp; Analytics</t>
  </si>
  <si>
    <t>w</t>
  </si>
  <si>
    <t>Metric</t>
  </si>
  <si>
    <t>Value</t>
  </si>
  <si>
    <t>2024 restructuring charges</t>
  </si>
  <si>
    <t>2024 cost savings realised</t>
  </si>
  <si>
    <t>Total programme target (PIP)</t>
  </si>
  <si>
    <t>Income Statement</t>
  </si>
  <si>
    <t>Recommended: S&amp;P Capital IQ - Standard</t>
  </si>
  <si>
    <t>2020 FY</t>
  </si>
  <si>
    <t>2021 FY</t>
  </si>
  <si>
    <t>2022 FY</t>
  </si>
  <si>
    <t>2023 FY</t>
  </si>
  <si>
    <t>2024 FY</t>
  </si>
  <si>
    <t>Period Ended</t>
  </si>
  <si>
    <t>Currency</t>
  </si>
  <si>
    <t>GBP</t>
  </si>
  <si>
    <t>Units</t>
  </si>
  <si>
    <t>Millions</t>
  </si>
  <si>
    <t>Revenues</t>
  </si>
  <si>
    <t>Expenses</t>
  </si>
  <si>
    <t>Cost of Sales</t>
  </si>
  <si>
    <t>Sales and Marketing Expenses</t>
  </si>
  <si>
    <t>Administrative Expenses</t>
  </si>
  <si>
    <t>Indirect Production and Engineering Expenses</t>
  </si>
  <si>
    <t>Fair Value through Profit/loss Movements on Equity Investments</t>
  </si>
  <si>
    <t>Gain/loss from Sale of Investments</t>
  </si>
  <si>
    <t>Finance Costs</t>
  </si>
  <si>
    <t>Profit/loss on Disposal of Businesses</t>
  </si>
  <si>
    <t>Earnings before Taxes</t>
  </si>
  <si>
    <t>Taxes and Other Expenses</t>
  </si>
  <si>
    <t>Provision for Income Tax</t>
  </si>
  <si>
    <t>Share of Post Tax Results of Associates</t>
  </si>
  <si>
    <t>NA</t>
  </si>
  <si>
    <t>Minority Interest (After Tax)</t>
  </si>
  <si>
    <t>Earnings of Discontinued Operations</t>
  </si>
  <si>
    <t>Net Income (Loss)</t>
  </si>
  <si>
    <t>Supplementary Info</t>
  </si>
  <si>
    <t>Gross Profit/loss</t>
  </si>
  <si>
    <t>Operating Income (Loss)</t>
  </si>
  <si>
    <t>Basic EPS - Continuing Operations</t>
  </si>
  <si>
    <t>Diluted EPS - Continuing Operations</t>
  </si>
  <si>
    <t>Basic EPS - Discontinued Operations</t>
  </si>
  <si>
    <t>Basic Earnings Per Share – Total</t>
  </si>
  <si>
    <t>Diluted EPS - Discontinued Operations</t>
  </si>
  <si>
    <t>Diluted Earnings Per Share – Total</t>
  </si>
  <si>
    <t>Q2 2025 FY</t>
  </si>
  <si>
    <t>Cash and Cash Equivalents</t>
  </si>
  <si>
    <t>Trade and Other Receivables</t>
  </si>
  <si>
    <t>Taxation Recoverable</t>
  </si>
  <si>
    <t>Inventories</t>
  </si>
  <si>
    <t>Derivative Financial Instruments</t>
  </si>
  <si>
    <t>Asset Held for Sale</t>
  </si>
  <si>
    <t>Noncurrent Assets</t>
  </si>
  <si>
    <t>Right of Use Assets</t>
  </si>
  <si>
    <t>Tangible Assets</t>
  </si>
  <si>
    <t>Investment in Associates</t>
  </si>
  <si>
    <t>Investments in Equity Instruments</t>
  </si>
  <si>
    <t>Investments in Debt Instruments</t>
  </si>
  <si>
    <t>Deferred Tax Assets</t>
  </si>
  <si>
    <t>Other Receivables</t>
  </si>
  <si>
    <t>Other Intangible Assets</t>
  </si>
  <si>
    <t>Retirement Benefit Assets</t>
  </si>
  <si>
    <t>Trade and Other Payables</t>
  </si>
  <si>
    <t>Short-term Borrowings</t>
  </si>
  <si>
    <t>Lease Liabilities</t>
  </si>
  <si>
    <t>Current Tax Liabilities</t>
  </si>
  <si>
    <t>Provisions</t>
  </si>
  <si>
    <t>Liabilities Held-for-sale</t>
  </si>
  <si>
    <t>Noncurrent Liabilities</t>
  </si>
  <si>
    <t>Retirement Bene®t Obligations</t>
  </si>
  <si>
    <t>Borrowings</t>
  </si>
  <si>
    <t>Retirement Benefit Obligations</t>
  </si>
  <si>
    <t>Deferred Tax Liabilities</t>
  </si>
  <si>
    <t>Other Payables</t>
  </si>
  <si>
    <t>Common Stock - Par Value</t>
  </si>
  <si>
    <t>Additional Paid in Capital</t>
  </si>
  <si>
    <t>Hedging Reserve</t>
  </si>
  <si>
    <t>Translation Reserve</t>
  </si>
  <si>
    <t>Merger Reserves</t>
  </si>
  <si>
    <t>Capital Redemption Reserve</t>
  </si>
  <si>
    <t>Total Shareholders Equity</t>
  </si>
  <si>
    <t>Total Liabilities &amp; Shareholders Equity</t>
  </si>
  <si>
    <t xml:space="preserve">Cash Flow Statement </t>
  </si>
  <si>
    <t>Operating Activities</t>
  </si>
  <si>
    <t>Depreciation of Tangible Fixed Assets</t>
  </si>
  <si>
    <t>Amortization of Intangible Assets</t>
  </si>
  <si>
    <t>Gain/loss on Sale of Property, Plant and Equipment</t>
  </si>
  <si>
    <t>Profit on Disposal and Remeasurements of Property, Plant and Equipment and Associated Lease Liabilities</t>
  </si>
  <si>
    <t>Fair Value through Profit/Loss Movements on Debt Investments</t>
  </si>
  <si>
    <t>Goodwill Impairment Charge</t>
  </si>
  <si>
    <t>Equity-settled Share-based Payment Expenses</t>
  </si>
  <si>
    <t>Acquisition Related Fair Value Adjustments</t>
  </si>
  <si>
    <t>Changes in Inventories</t>
  </si>
  <si>
    <t>Changes in Other Current Liabilities</t>
  </si>
  <si>
    <t>Provisions and Retirement Benefits</t>
  </si>
  <si>
    <t>Finance Lease Liabilities</t>
  </si>
  <si>
    <t>Cash Flow from Operating Activities</t>
  </si>
  <si>
    <t>Investing Activities</t>
  </si>
  <si>
    <t>Purchase of Property, Plant and Equipment and Intangible Assets</t>
  </si>
  <si>
    <t>Proceeds From Sale of Property, Plant &amp; Equipment</t>
  </si>
  <si>
    <t>Acquisition of Businesses, Net of Cash Acquired</t>
  </si>
  <si>
    <t>Proceeds from Disposal of Businesses</t>
  </si>
  <si>
    <t>Purchase of Investments in Associates</t>
  </si>
  <si>
    <t>Proceeds from Disposals of Equity Investments</t>
  </si>
  <si>
    <t>Purchase of Equity Investments</t>
  </si>
  <si>
    <t>Proceeds from Government Grants Related to Purchase of Property, Plant and Equipment and Intangible Assets</t>
  </si>
  <si>
    <t>Finance Sublease Receivable Collected, Net of Initial Direct Costs</t>
  </si>
  <si>
    <t>Interest Received</t>
  </si>
  <si>
    <t>Cash Flow from Investing Activities</t>
  </si>
  <si>
    <t>Financing Activities</t>
  </si>
  <si>
    <t>Repayments of Borrowings</t>
  </si>
  <si>
    <t>New Borrowings</t>
  </si>
  <si>
    <t>Proceeds from Exercise of Share Options</t>
  </si>
  <si>
    <t>Purchase of Own Shares (treasur Y Shares)</t>
  </si>
  <si>
    <t>Dividends Paid</t>
  </si>
  <si>
    <t>Loans Repaid By/(made To) Joint Venture</t>
  </si>
  <si>
    <t>Debt Acquired with Acquisitions</t>
  </si>
  <si>
    <t>Cash Flow from Financing Activities</t>
  </si>
  <si>
    <t>Cash Flow Net Changes in Cash</t>
  </si>
  <si>
    <t>Effect of Foreign Exchange Rate Change</t>
  </si>
  <si>
    <t>.</t>
  </si>
  <si>
    <t xml:space="preserve">Revneue Product Breakdown </t>
  </si>
  <si>
    <t>Divisional Revenues (£m)</t>
  </si>
  <si>
    <t>Source:  https://www.spectris.com/assets/SPECTRIS_AR24_FINAL_Interactive.pdf pg. 176</t>
  </si>
  <si>
    <t>Spectris Scientific:</t>
  </si>
  <si>
    <t>Spectris Dynamics:</t>
  </si>
  <si>
    <t>Red Lion Controls:</t>
  </si>
  <si>
    <t>Total</t>
  </si>
  <si>
    <t>Divisional Revenues (%)</t>
  </si>
  <si>
    <t>Scientific</t>
  </si>
  <si>
    <t>Red Lion</t>
  </si>
  <si>
    <t>Dynamics</t>
  </si>
  <si>
    <t xml:space="preserve">Revneue Geographic Breakdown </t>
  </si>
  <si>
    <t>Geographic Revenues (£m)</t>
  </si>
  <si>
    <t>North America</t>
  </si>
  <si>
    <t>EU</t>
  </si>
  <si>
    <t>Asia</t>
  </si>
  <si>
    <t>Rest of World</t>
  </si>
  <si>
    <t>Geographic Revenues (%)</t>
  </si>
  <si>
    <t>End Market Revenues</t>
  </si>
  <si>
    <t>Life Sciences</t>
  </si>
  <si>
    <t>Industrials</t>
  </si>
  <si>
    <t>Electronics</t>
  </si>
  <si>
    <t>Mining</t>
  </si>
  <si>
    <t>2025 FQ2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</si>
</sst>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3" formatCode="_-* #,##0.00_-;\-* #,##0.00_-;_-* &quot;-&quot;??_-;_-@_-"/>
    <numFmt numFmtId="164" formatCode="&quot;$&quot;#,##0_);\(&quot;$&quot;#,##0\)"/>
    <numFmt numFmtId="165" formatCode="#,##0.##;[Red]\(#,##0.##\)"/>
    <numFmt numFmtId="166" formatCode="&quot;£&quot;#,##0.00"/>
    <numFmt numFmtId="167" formatCode="0.0%"/>
    <numFmt numFmtId="168" formatCode="#,##0.0"/>
    <numFmt numFmtId="169" formatCode="_(0.0\x_);\(0.0\x\);&quot;-&quot;"/>
    <numFmt numFmtId="170" formatCode="_-* #,##0_-;\(#,##0\)_-;_-* &quot;-&quot;_-;_-@_-"/>
    <numFmt numFmtId="171" formatCode="0.0"/>
    <numFmt numFmtId="172" formatCode="&quot;B&quot;\+0&quot;bps&quot;_);&quot;B&quot;\-0&quot;bps&quot;_);&quot;B&quot;\+0&quot;bps&quot;_)"/>
    <numFmt numFmtId="173" formatCode="&quot;EURIBOR&quot;\+0&quot;bps&quot;_);&quot;B&quot;\-0&quot;bps&quot;_);&quot;B&quot;\+0&quot;bps&quot;_)"/>
    <numFmt numFmtId="174" formatCode="&quot;SOFR&quot;\+0&quot;bps&quot;_);&quot;B&quot;\-0&quot;bps&quot;_);&quot;B&quot;\+0&quot;bps&quot;_)"/>
    <numFmt numFmtId="175" formatCode="0&quot;A&quot;"/>
    <numFmt numFmtId="176" formatCode="General&quot;E&quot;"/>
    <numFmt numFmtId="177" formatCode="_(#,##0_);\(#,##0\);_(&quot;–&quot;_);_(@_)"/>
    <numFmt numFmtId="178" formatCode="#,##0.0;[Red]#,##0.0"/>
    <numFmt numFmtId="179" formatCode="0%;\(0%\)"/>
    <numFmt numFmtId="180" formatCode="\+0%;\-0%"/>
    <numFmt numFmtId="181" formatCode="\+0.0%;\-0.0%"/>
    <numFmt numFmtId="182" formatCode="0.0%;\(0.0%\)"/>
    <numFmt numFmtId="183" formatCode="_(#,##0.0_);\(#,##0.0\);_(&quot;–&quot;_);_(@_)"/>
    <numFmt numFmtId="184" formatCode="_(#,##0.00_);\(#,##0.00\);_(&quot;–&quot;_);_(@_)"/>
    <numFmt numFmtId="185" formatCode="_(#,##0.000_);\(#,##0.000\);_(&quot;–&quot;_);_(@_)"/>
    <numFmt numFmtId="186" formatCode="[=1]&quot;On&quot;;[=2]&quot;Off&quot;"/>
    <numFmt numFmtId="187" formatCode="dd/mm/yy"/>
    <numFmt numFmtId="188" formatCode="&quot;Year &quot;0"/>
    <numFmt numFmtId="189" formatCode="&quot;Year &quot;0&quot; (26)&quot;"/>
    <numFmt numFmtId="190" formatCode="0&quot;-Year-Horizon&quot;"/>
    <numFmt numFmtId="191" formatCode="_(#,##0.00\x_);\(#,##0.00\x\);_(&quot;–&quot;_);_(@_)"/>
    <numFmt numFmtId="192" formatCode="_(#,##0.0000000000000000_);\(#,##0.0000000000000000\);_(&quot;–&quot;_);_(@_)"/>
    <numFmt numFmtId="193" formatCode="_(#,##0_);\(#,##0\);&quot;-&quot;"/>
    <numFmt numFmtId="194" formatCode="_(#,##0.0\x_);\(#,##0.0\x\);_(&quot;–&quot;_);_(@_)"/>
    <numFmt numFmtId="195" formatCode="&quot;£&quot;#,000&quot;mm&quot;"/>
    <numFmt numFmtId="196" formatCode="0.0\x"/>
  </numFmts>
  <fonts count="58" x14ac:knownFonts="1">
    <font>
      <sz val="11"/>
      <color theme="1"/>
      <name val="Aptos Narrow"/>
      <family val="2"/>
      <scheme val="minor"/>
    </font>
    <font>
      <b/>
      <sz val="11"/>
      <color theme="1"/>
      <name val="Aptos Narrow"/>
      <family val="2"/>
      <scheme val="minor"/>
    </font>
    <font>
      <b/>
      <i/>
      <sz val="11"/>
      <color rgb="FF000000"/>
      <name val="Calibri"/>
      <family val="2"/>
    </font>
    <font>
      <sz val="11"/>
      <color rgb="FF0070C0"/>
      <name val="Aptos Narrow"/>
      <family val="2"/>
      <scheme val="minor"/>
    </font>
    <font>
      <b/>
      <sz val="16"/>
      <color rgb="FF0070C0"/>
      <name val="Aptos Narrow"/>
      <family val="2"/>
      <scheme val="minor"/>
    </font>
    <font>
      <sz val="11"/>
      <color theme="1"/>
      <name val="Aptos Narrow"/>
      <family val="2"/>
      <scheme val="minor"/>
    </font>
    <font>
      <b/>
      <sz val="14"/>
      <color rgb="FF0070C0"/>
      <name val="Aptos Narrow"/>
      <family val="2"/>
      <scheme val="minor"/>
    </font>
    <font>
      <b/>
      <sz val="11"/>
      <color rgb="FF7030A0"/>
      <name val="Aptos Narrow"/>
      <family val="2"/>
      <scheme val="minor"/>
    </font>
    <font>
      <sz val="9"/>
      <color indexed="81"/>
      <name val="Tahoma"/>
      <family val="2"/>
    </font>
    <font>
      <sz val="11"/>
      <name val="Aptos Narrow"/>
      <family val="2"/>
      <scheme val="minor"/>
    </font>
    <font>
      <sz val="8"/>
      <color theme="1"/>
      <name val="Aptos Narrow"/>
      <family val="2"/>
      <scheme val="minor"/>
    </font>
    <font>
      <sz val="10"/>
      <name val="Arial"/>
      <family val="2"/>
    </font>
    <font>
      <sz val="11"/>
      <color rgb="FF000000"/>
      <name val="Aptos"/>
      <family val="2"/>
    </font>
    <font>
      <sz val="11"/>
      <color theme="1"/>
      <name val="Arial Narrow"/>
      <family val="2"/>
    </font>
    <font>
      <b/>
      <sz val="11"/>
      <name val="Aptos"/>
      <family val="2"/>
    </font>
    <font>
      <b/>
      <sz val="11"/>
      <name val="Calibri"/>
      <family val="2"/>
    </font>
    <font>
      <sz val="8"/>
      <color rgb="FFE3E3E3"/>
      <name val="Arial"/>
      <family val="2"/>
    </font>
    <font>
      <sz val="11"/>
      <color theme="1"/>
      <name val="Arial"/>
      <family val="2"/>
    </font>
    <font>
      <b/>
      <sz val="11"/>
      <color theme="1"/>
      <name val="Arial"/>
      <family val="2"/>
    </font>
    <font>
      <b/>
      <sz val="11"/>
      <color theme="0"/>
      <name val="Arial"/>
      <family val="2"/>
    </font>
    <font>
      <b/>
      <sz val="9"/>
      <color indexed="81"/>
      <name val="Tahoma"/>
      <family val="2"/>
    </font>
    <font>
      <b/>
      <sz val="11"/>
      <color theme="0"/>
      <name val="Aptos Narrow"/>
      <family val="2"/>
      <scheme val="minor"/>
    </font>
    <font>
      <b/>
      <sz val="11"/>
      <color rgb="FF0070C0"/>
      <name val="Aptos Narrow"/>
      <family val="2"/>
      <scheme val="minor"/>
    </font>
    <font>
      <b/>
      <sz val="11"/>
      <name val="Aptos Narrow"/>
      <family val="2"/>
      <scheme val="minor"/>
    </font>
    <font>
      <b/>
      <sz val="11"/>
      <color theme="9"/>
      <name val="Aptos Narrow"/>
      <family val="2"/>
      <scheme val="minor"/>
    </font>
    <font>
      <sz val="11"/>
      <color rgb="FF00B050"/>
      <name val="Aptos Narrow"/>
      <family val="2"/>
      <scheme val="minor"/>
    </font>
    <font>
      <i/>
      <sz val="11"/>
      <color theme="1"/>
      <name val="Aptos Narrow"/>
      <family val="2"/>
      <scheme val="minor"/>
    </font>
    <font>
      <i/>
      <sz val="11"/>
      <color indexed="8"/>
      <name val="Aptos Narrow"/>
      <family val="2"/>
      <scheme val="minor"/>
    </font>
    <font>
      <b/>
      <sz val="11"/>
      <color indexed="8"/>
      <name val="Aptos Narrow"/>
      <family val="2"/>
      <scheme val="minor"/>
    </font>
    <font>
      <b/>
      <sz val="11"/>
      <color theme="1"/>
      <name val="Aptos"/>
      <family val="2"/>
    </font>
    <font>
      <b/>
      <sz val="11"/>
      <color rgb="FF0070C0"/>
      <name val="Aptos"/>
      <family val="2"/>
    </font>
    <font>
      <sz val="11"/>
      <color theme="0"/>
      <name val="Aptos Narrow"/>
      <family val="2"/>
      <scheme val="minor"/>
    </font>
    <font>
      <i/>
      <sz val="11"/>
      <color rgb="FF00B050"/>
      <name val="Aptos Narrow"/>
      <family val="2"/>
      <scheme val="minor"/>
    </font>
    <font>
      <b/>
      <sz val="11"/>
      <color rgb="FF000000"/>
      <name val="Aptos"/>
      <family val="2"/>
    </font>
    <font>
      <sz val="11"/>
      <color theme="1"/>
      <name val="Aptos"/>
      <family val="2"/>
    </font>
    <font>
      <sz val="11"/>
      <color rgb="FF00B050"/>
      <name val="Aptos"/>
      <family val="2"/>
    </font>
    <font>
      <sz val="11"/>
      <color rgb="FF0070C0"/>
      <name val="Aptos"/>
      <family val="2"/>
    </font>
    <font>
      <i/>
      <sz val="11"/>
      <color rgb="FF000000"/>
      <name val="Aptos"/>
      <family val="2"/>
    </font>
    <font>
      <i/>
      <sz val="11"/>
      <color rgb="FF0070C0"/>
      <name val="Aptos Narrow"/>
      <family val="2"/>
      <scheme val="minor"/>
    </font>
    <font>
      <b/>
      <sz val="11"/>
      <color rgb="FF00B050"/>
      <name val="Aptos Narrow"/>
      <family val="2"/>
      <scheme val="minor"/>
    </font>
    <font>
      <b/>
      <sz val="14"/>
      <name val="Calibri"/>
      <family val="2"/>
    </font>
    <font>
      <b/>
      <sz val="16"/>
      <color theme="1"/>
      <name val="Aptos Narrow"/>
      <family val="2"/>
      <scheme val="minor"/>
    </font>
    <font>
      <b/>
      <sz val="16"/>
      <color theme="1"/>
      <name val="Calibri"/>
      <family val="2"/>
    </font>
    <font>
      <b/>
      <sz val="16"/>
      <name val="Aptos Narrow"/>
      <family val="2"/>
      <scheme val="minor"/>
    </font>
    <font>
      <b/>
      <u/>
      <sz val="14"/>
      <color theme="1"/>
      <name val="Aptos"/>
      <family val="2"/>
    </font>
    <font>
      <u/>
      <sz val="11"/>
      <color theme="1"/>
      <name val="Aptos"/>
      <family val="2"/>
    </font>
    <font>
      <b/>
      <u/>
      <sz val="11"/>
      <color theme="1"/>
      <name val="Aptos"/>
      <family val="2"/>
    </font>
    <font>
      <b/>
      <sz val="11"/>
      <color theme="1"/>
      <name val="Calibri"/>
      <family val="2"/>
    </font>
    <font>
      <b/>
      <u/>
      <sz val="14"/>
      <color theme="1"/>
      <name val="Calibri"/>
      <family val="2"/>
    </font>
    <font>
      <sz val="9.6"/>
      <color theme="1"/>
      <name val="Segoe UI"/>
      <family val="2"/>
    </font>
    <font>
      <sz val="11"/>
      <color theme="1"/>
      <name val="Segoe UI"/>
      <family val="2"/>
    </font>
    <font>
      <sz val="14"/>
      <color theme="1"/>
      <name val="Aptos Narrow"/>
      <family val="2"/>
      <scheme val="minor"/>
    </font>
    <font>
      <b/>
      <u/>
      <sz val="14"/>
      <color theme="1"/>
      <name val="Aptos Narrow"/>
      <family val="2"/>
      <scheme val="minor"/>
    </font>
    <font>
      <i/>
      <sz val="11"/>
      <name val="Aptos Narrow"/>
      <family val="2"/>
      <scheme val="minor"/>
    </font>
    <font>
      <sz val="14"/>
      <color theme="0"/>
      <name val="Aptos Narrow"/>
      <family val="2"/>
      <scheme val="minor"/>
    </font>
    <font>
      <b/>
      <sz val="24"/>
      <color rgb="FF0070C0"/>
      <name val="Aptos"/>
      <family val="2"/>
    </font>
    <font>
      <u/>
      <sz val="11"/>
      <color theme="10"/>
      <name val="Aptos Narrow"/>
      <family val="2"/>
      <scheme val="minor"/>
    </font>
    <font>
      <i/>
      <u/>
      <sz val="11"/>
      <color theme="10"/>
      <name val="Aptos Narrow"/>
      <family val="2"/>
      <scheme val="minor"/>
    </font>
  </fonts>
  <fills count="13">
    <fill>
      <patternFill patternType="none"/>
    </fill>
    <fill>
      <patternFill patternType="gray125"/>
    </fill>
    <fill>
      <patternFill patternType="solid">
        <fgColor rgb="FFD3D3D3"/>
        <bgColor indexed="64"/>
      </patternFill>
    </fill>
    <fill>
      <patternFill patternType="solid">
        <fgColor theme="2"/>
        <bgColor indexed="64"/>
      </patternFill>
    </fill>
    <fill>
      <patternFill patternType="solid">
        <fgColor theme="0" tint="-0.14999847407452621"/>
        <bgColor indexed="64"/>
      </patternFill>
    </fill>
    <fill>
      <patternFill patternType="solid">
        <fgColor rgb="FFCCCCCC"/>
        <bgColor indexed="64"/>
      </patternFill>
    </fill>
    <fill>
      <patternFill patternType="solid">
        <fgColor rgb="FF002060"/>
        <bgColor indexed="64"/>
      </patternFill>
    </fill>
    <fill>
      <patternFill patternType="solid">
        <fgColor theme="0"/>
        <bgColor indexed="64"/>
      </patternFill>
    </fill>
    <fill>
      <patternFill patternType="solid">
        <fgColor rgb="FF0070C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2F2F2"/>
        <bgColor indexed="64"/>
      </patternFill>
    </fill>
  </fills>
  <borders count="51">
    <border>
      <left/>
      <right/>
      <top/>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70C0"/>
      </top>
      <bottom style="medium">
        <color rgb="FF0070C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style="dashed">
        <color rgb="FF000000"/>
      </left>
      <right style="dashed">
        <color rgb="FF000000"/>
      </right>
      <top style="dashed">
        <color rgb="FF000000"/>
      </top>
      <bottom style="dashed">
        <color rgb="FF000000"/>
      </bottom>
      <diagonal/>
    </border>
    <border>
      <left style="dashed">
        <color auto="1"/>
      </left>
      <right style="dashed">
        <color auto="1"/>
      </right>
      <top style="dashed">
        <color auto="1"/>
      </top>
      <bottom style="dashed">
        <color auto="1"/>
      </bottom>
      <diagonal/>
    </border>
    <border>
      <left/>
      <right/>
      <top/>
      <bottom style="medium">
        <color rgb="FF3271D2"/>
      </bottom>
      <diagonal/>
    </border>
    <border>
      <left/>
      <right/>
      <top/>
      <bottom style="medium">
        <color indexed="64"/>
      </bottom>
      <diagonal/>
    </border>
    <border>
      <left/>
      <right/>
      <top style="thin">
        <color theme="0" tint="-0.34998626667073579"/>
      </top>
      <bottom style="medium">
        <color theme="0" tint="-0.34998626667073579"/>
      </bottom>
      <diagonal/>
    </border>
    <border>
      <left style="thin">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dotted">
        <color indexed="64"/>
      </top>
      <bottom/>
      <diagonal/>
    </border>
    <border>
      <left/>
      <right style="dotted">
        <color indexed="64"/>
      </right>
      <top style="dotted">
        <color indexed="64"/>
      </top>
      <bottom/>
      <diagonal/>
    </border>
    <border>
      <left/>
      <right style="dotted">
        <color indexed="64"/>
      </right>
      <top/>
      <bottom/>
      <diagonal/>
    </border>
    <border>
      <left style="thin">
        <color indexed="64"/>
      </left>
      <right/>
      <top/>
      <bottom style="dotted">
        <color indexed="64"/>
      </bottom>
      <diagonal/>
    </border>
    <border>
      <left/>
      <right style="dotted">
        <color indexed="64"/>
      </right>
      <top/>
      <bottom style="dotted">
        <color indexed="64"/>
      </bottom>
      <diagonal/>
    </border>
    <border>
      <left style="dotted">
        <color auto="1"/>
      </left>
      <right/>
      <top/>
      <bottom/>
      <diagonal/>
    </border>
    <border>
      <left style="dotted">
        <color auto="1"/>
      </left>
      <right/>
      <top style="thin">
        <color indexed="64"/>
      </top>
      <bottom/>
      <diagonal/>
    </border>
    <border>
      <left style="dotted">
        <color auto="1"/>
      </left>
      <right/>
      <top style="thin">
        <color indexed="64"/>
      </top>
      <bottom style="thin">
        <color indexed="64"/>
      </bottom>
      <diagonal/>
    </border>
    <border>
      <left style="medium">
        <color rgb="FFDDDDDD"/>
      </left>
      <right style="medium">
        <color rgb="FFDDDDDD"/>
      </right>
      <top style="medium">
        <color rgb="FFDDDDDD"/>
      </top>
      <bottom style="medium">
        <color rgb="FFDDDDDD"/>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dotted">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9">
    <xf numFmtId="0" fontId="0" fillId="0" borderId="0"/>
    <xf numFmtId="9" fontId="5" fillId="0" borderId="0" applyFont="0" applyFill="0" applyBorder="0" applyAlignment="0" applyProtection="0"/>
    <xf numFmtId="0" fontId="11" fillId="0" borderId="0"/>
    <xf numFmtId="43" fontId="13" fillId="0" borderId="0" applyFont="0" applyFill="0" applyBorder="0" applyAlignment="0" applyProtection="0"/>
    <xf numFmtId="43" fontId="5" fillId="0" borderId="0" applyFont="0" applyFill="0" applyBorder="0" applyAlignment="0" applyProtection="0"/>
    <xf numFmtId="9" fontId="11" fillId="0" borderId="0" applyFont="0" applyFill="0" applyBorder="0" applyAlignment="0" applyProtection="0"/>
    <xf numFmtId="0" fontId="11" fillId="0" borderId="0"/>
    <xf numFmtId="0" fontId="5" fillId="0" borderId="0"/>
    <xf numFmtId="0" fontId="56" fillId="0" borderId="0" applyNumberFormat="0" applyFill="0" applyBorder="0" applyAlignment="0" applyProtection="0"/>
  </cellStyleXfs>
  <cellXfs count="406">
    <xf numFmtId="0" fontId="0" fillId="0" borderId="0" xfId="0"/>
    <xf numFmtId="0" fontId="0" fillId="0" borderId="0" xfId="0"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right" vertical="top" wrapText="1"/>
    </xf>
    <xf numFmtId="14" fontId="0" fillId="0" borderId="0" xfId="0" applyNumberFormat="1" applyAlignment="1">
      <alignment horizontal="right" vertical="top"/>
    </xf>
    <xf numFmtId="0" fontId="0" fillId="0" borderId="0" xfId="0" applyAlignment="1">
      <alignment horizontal="right" vertical="top"/>
    </xf>
    <xf numFmtId="0" fontId="1" fillId="0" borderId="0" xfId="0" applyFont="1" applyAlignment="1">
      <alignment horizontal="left" vertical="top"/>
    </xf>
    <xf numFmtId="165" fontId="0" fillId="0" borderId="0" xfId="0" applyNumberFormat="1" applyAlignment="1">
      <alignment horizontal="right" vertical="top"/>
    </xf>
    <xf numFmtId="0" fontId="3" fillId="3" borderId="0" xfId="0" applyFont="1" applyFill="1"/>
    <xf numFmtId="0" fontId="4" fillId="3" borderId="0" xfId="0" applyFont="1" applyFill="1"/>
    <xf numFmtId="0" fontId="6" fillId="4" borderId="0" xfId="0" applyFont="1" applyFill="1"/>
    <xf numFmtId="0" fontId="1" fillId="0" borderId="0" xfId="0" applyFont="1"/>
    <xf numFmtId="0" fontId="1" fillId="0" borderId="2" xfId="0" applyFont="1" applyBorder="1"/>
    <xf numFmtId="0" fontId="0" fillId="0" borderId="2" xfId="0" applyBorder="1"/>
    <xf numFmtId="0" fontId="7" fillId="0" borderId="2" xfId="0" applyFont="1" applyBorder="1"/>
    <xf numFmtId="0" fontId="0" fillId="0" borderId="0" xfId="0" applyAlignment="1">
      <alignment horizontal="left" indent="1"/>
    </xf>
    <xf numFmtId="166" fontId="3" fillId="0" borderId="0" xfId="0" applyNumberFormat="1" applyFont="1"/>
    <xf numFmtId="9" fontId="0" fillId="0" borderId="0" xfId="0" applyNumberFormat="1"/>
    <xf numFmtId="167" fontId="0" fillId="0" borderId="0" xfId="0" applyNumberFormat="1"/>
    <xf numFmtId="0" fontId="3" fillId="0" borderId="0" xfId="0" applyFont="1"/>
    <xf numFmtId="3" fontId="3" fillId="0" borderId="0" xfId="0" applyNumberFormat="1" applyFont="1"/>
    <xf numFmtId="168" fontId="3" fillId="0" borderId="0" xfId="0" applyNumberFormat="1" applyFont="1"/>
    <xf numFmtId="168" fontId="0" fillId="0" borderId="0" xfId="0" applyNumberFormat="1"/>
    <xf numFmtId="0" fontId="10" fillId="0" borderId="0" xfId="0" applyFont="1"/>
    <xf numFmtId="169" fontId="0" fillId="0" borderId="0" xfId="0" applyNumberFormat="1"/>
    <xf numFmtId="0" fontId="1" fillId="0" borderId="3" xfId="0" applyFont="1" applyBorder="1"/>
    <xf numFmtId="3" fontId="1" fillId="0" borderId="3" xfId="0" applyNumberFormat="1" applyFont="1" applyBorder="1"/>
    <xf numFmtId="3" fontId="0" fillId="0" borderId="0" xfId="0" applyNumberFormat="1"/>
    <xf numFmtId="3" fontId="9" fillId="0" borderId="0" xfId="0" applyNumberFormat="1" applyFont="1"/>
    <xf numFmtId="0" fontId="1" fillId="0" borderId="0" xfId="0" applyFont="1" applyAlignment="1">
      <alignment horizontal="left" indent="1"/>
    </xf>
    <xf numFmtId="3" fontId="1" fillId="0" borderId="0" xfId="0" applyNumberFormat="1" applyFont="1"/>
    <xf numFmtId="0" fontId="12" fillId="0" borderId="0" xfId="2" applyFont="1" applyAlignment="1">
      <alignment horizontal="left" indent="1"/>
    </xf>
    <xf numFmtId="14" fontId="3" fillId="0" borderId="0" xfId="0" applyNumberFormat="1" applyFont="1" applyAlignment="1">
      <alignment horizontal="right"/>
    </xf>
    <xf numFmtId="0" fontId="3" fillId="0" borderId="0" xfId="0" applyFont="1" applyAlignment="1">
      <alignment horizontal="right"/>
    </xf>
    <xf numFmtId="9" fontId="3" fillId="0" borderId="0" xfId="1" applyFont="1"/>
    <xf numFmtId="3" fontId="0" fillId="0" borderId="2" xfId="0" applyNumberFormat="1" applyBorder="1" applyAlignment="1">
      <alignment horizontal="right"/>
    </xf>
    <xf numFmtId="0" fontId="0" fillId="0" borderId="2" xfId="0" applyBorder="1" applyAlignment="1">
      <alignment horizontal="right"/>
    </xf>
    <xf numFmtId="10" fontId="0" fillId="0" borderId="0" xfId="0" applyNumberFormat="1"/>
    <xf numFmtId="10" fontId="3" fillId="0" borderId="0" xfId="0" applyNumberFormat="1" applyFont="1"/>
    <xf numFmtId="164" fontId="14" fillId="0" borderId="0" xfId="3" applyNumberFormat="1" applyFont="1" applyAlignment="1" applyProtection="1">
      <alignment horizontal="right"/>
      <protection locked="0"/>
    </xf>
    <xf numFmtId="170" fontId="14" fillId="0" borderId="0" xfId="3" applyNumberFormat="1" applyFont="1" applyAlignment="1" applyProtection="1">
      <alignment horizontal="right"/>
      <protection locked="0"/>
    </xf>
    <xf numFmtId="0" fontId="14" fillId="0" borderId="0" xfId="3" applyNumberFormat="1" applyFont="1" applyAlignment="1" applyProtection="1">
      <alignment horizontal="right"/>
      <protection locked="0"/>
    </xf>
    <xf numFmtId="0" fontId="14" fillId="0" borderId="0" xfId="3" applyNumberFormat="1" applyFont="1" applyAlignment="1" applyProtection="1">
      <alignment horizontal="center"/>
      <protection locked="0"/>
    </xf>
    <xf numFmtId="0" fontId="14" fillId="0" borderId="2" xfId="3" applyNumberFormat="1" applyFont="1" applyBorder="1" applyAlignment="1" applyProtection="1">
      <alignment horizontal="right"/>
      <protection locked="0"/>
    </xf>
    <xf numFmtId="0" fontId="14" fillId="0" borderId="2" xfId="3" applyNumberFormat="1" applyFont="1" applyBorder="1" applyAlignment="1" applyProtection="1">
      <alignment horizontal="center"/>
      <protection locked="0"/>
    </xf>
    <xf numFmtId="3" fontId="16" fillId="0" borderId="0" xfId="0" applyNumberFormat="1" applyFont="1" applyAlignment="1">
      <alignment horizontal="left" vertical="center" wrapText="1"/>
    </xf>
    <xf numFmtId="171" fontId="3" fillId="0" borderId="0" xfId="0" applyNumberFormat="1" applyFont="1"/>
    <xf numFmtId="0" fontId="0" fillId="0" borderId="3" xfId="0" applyBorder="1"/>
    <xf numFmtId="0" fontId="17" fillId="0" borderId="0" xfId="0" applyFont="1"/>
    <xf numFmtId="3" fontId="17" fillId="0" borderId="0" xfId="0" applyNumberFormat="1" applyFont="1"/>
    <xf numFmtId="0" fontId="18" fillId="0" borderId="3" xfId="0" applyFont="1" applyBorder="1"/>
    <xf numFmtId="0" fontId="18" fillId="0" borderId="0" xfId="0" applyFont="1"/>
    <xf numFmtId="0" fontId="19" fillId="6" borderId="0" xfId="0" applyFont="1" applyFill="1"/>
    <xf numFmtId="0" fontId="19" fillId="7" borderId="0" xfId="0" applyFont="1" applyFill="1"/>
    <xf numFmtId="0" fontId="0" fillId="7" borderId="0" xfId="0" applyFill="1"/>
    <xf numFmtId="3" fontId="18" fillId="0" borderId="3" xfId="0" applyNumberFormat="1" applyFont="1" applyBorder="1"/>
    <xf numFmtId="9" fontId="17" fillId="0" borderId="0" xfId="0" applyNumberFormat="1" applyFont="1"/>
    <xf numFmtId="9" fontId="18" fillId="0" borderId="3" xfId="0" applyNumberFormat="1" applyFont="1" applyBorder="1"/>
    <xf numFmtId="167" fontId="17" fillId="0" borderId="0" xfId="0" applyNumberFormat="1" applyFont="1"/>
    <xf numFmtId="3" fontId="18" fillId="0" borderId="0" xfId="0" applyNumberFormat="1" applyFont="1"/>
    <xf numFmtId="167" fontId="18" fillId="0" borderId="3" xfId="0" applyNumberFormat="1" applyFont="1" applyBorder="1"/>
    <xf numFmtId="171" fontId="0" fillId="0" borderId="0" xfId="0" applyNumberFormat="1"/>
    <xf numFmtId="3" fontId="0" fillId="0" borderId="2" xfId="0" applyNumberFormat="1" applyBorder="1"/>
    <xf numFmtId="9" fontId="0" fillId="0" borderId="2" xfId="0" applyNumberFormat="1" applyBorder="1"/>
    <xf numFmtId="0" fontId="3" fillId="0" borderId="0" xfId="0" applyFont="1" applyAlignment="1">
      <alignment horizontal="center"/>
    </xf>
    <xf numFmtId="0" fontId="3" fillId="0" borderId="2" xfId="0" applyFont="1" applyBorder="1" applyAlignment="1">
      <alignment horizontal="center"/>
    </xf>
    <xf numFmtId="167" fontId="3" fillId="0" borderId="0" xfId="0" applyNumberFormat="1" applyFont="1" applyAlignment="1">
      <alignment horizontal="center"/>
    </xf>
    <xf numFmtId="10" fontId="3" fillId="0" borderId="0" xfId="0" applyNumberFormat="1" applyFont="1" applyAlignment="1">
      <alignment horizontal="center"/>
    </xf>
    <xf numFmtId="171" fontId="9" fillId="0" borderId="0" xfId="0" applyNumberFormat="1" applyFont="1" applyAlignment="1">
      <alignment horizontal="center"/>
    </xf>
    <xf numFmtId="173" fontId="3" fillId="0" borderId="0" xfId="0" applyNumberFormat="1" applyFont="1" applyAlignment="1">
      <alignment horizontal="center"/>
    </xf>
    <xf numFmtId="174" fontId="3" fillId="0" borderId="0" xfId="0" applyNumberFormat="1" applyFont="1" applyAlignment="1">
      <alignment horizontal="center"/>
    </xf>
    <xf numFmtId="172" fontId="3" fillId="0" borderId="0" xfId="0" applyNumberFormat="1" applyFont="1" applyAlignment="1">
      <alignment horizontal="center"/>
    </xf>
    <xf numFmtId="171" fontId="0" fillId="0" borderId="3" xfId="0" applyNumberFormat="1" applyBorder="1"/>
    <xf numFmtId="9" fontId="3" fillId="0" borderId="0" xfId="0" applyNumberFormat="1" applyFont="1" applyAlignment="1">
      <alignment horizontal="center"/>
    </xf>
    <xf numFmtId="167" fontId="3" fillId="0" borderId="0" xfId="0" applyNumberFormat="1" applyFont="1"/>
    <xf numFmtId="0" fontId="2" fillId="2" borderId="5" xfId="0" applyFont="1" applyFill="1" applyBorder="1" applyAlignment="1">
      <alignment horizontal="right" vertical="top" wrapText="1"/>
    </xf>
    <xf numFmtId="0" fontId="2" fillId="2" borderId="4" xfId="0" applyFont="1" applyFill="1" applyBorder="1" applyAlignment="1">
      <alignment horizontal="right" vertical="top" wrapText="1"/>
    </xf>
    <xf numFmtId="168" fontId="1" fillId="0" borderId="0" xfId="0" applyNumberFormat="1" applyFont="1"/>
    <xf numFmtId="3" fontId="23" fillId="0" borderId="0" xfId="0" applyNumberFormat="1" applyFont="1"/>
    <xf numFmtId="0" fontId="21" fillId="6" borderId="0" xfId="0" applyFont="1" applyFill="1"/>
    <xf numFmtId="176" fontId="1" fillId="7" borderId="6" xfId="0" applyNumberFormat="1" applyFont="1" applyFill="1" applyBorder="1"/>
    <xf numFmtId="175" fontId="24" fillId="7" borderId="0" xfId="0" applyNumberFormat="1" applyFont="1" applyFill="1"/>
    <xf numFmtId="176" fontId="22" fillId="7" borderId="0" xfId="0" applyNumberFormat="1" applyFont="1" applyFill="1"/>
    <xf numFmtId="175" fontId="22" fillId="7" borderId="6" xfId="0" applyNumberFormat="1" applyFont="1" applyFill="1" applyBorder="1"/>
    <xf numFmtId="0" fontId="1" fillId="0" borderId="3" xfId="0" applyFont="1" applyBorder="1" applyAlignment="1">
      <alignment horizontal="left" indent="1"/>
    </xf>
    <xf numFmtId="167" fontId="25" fillId="0" borderId="7" xfId="0" applyNumberFormat="1" applyFont="1" applyBorder="1"/>
    <xf numFmtId="167" fontId="25" fillId="0" borderId="8" xfId="0" applyNumberFormat="1" applyFont="1" applyBorder="1"/>
    <xf numFmtId="3" fontId="25" fillId="0" borderId="10" xfId="0" applyNumberFormat="1" applyFont="1" applyBorder="1"/>
    <xf numFmtId="3" fontId="25" fillId="0" borderId="3" xfId="0" applyNumberFormat="1" applyFont="1" applyBorder="1"/>
    <xf numFmtId="3" fontId="25" fillId="0" borderId="12" xfId="0" applyNumberFormat="1" applyFont="1" applyBorder="1"/>
    <xf numFmtId="3" fontId="25" fillId="0" borderId="0" xfId="0" applyNumberFormat="1" applyFont="1"/>
    <xf numFmtId="3" fontId="25" fillId="0" borderId="14" xfId="0" applyNumberFormat="1" applyFont="1" applyBorder="1"/>
    <xf numFmtId="3" fontId="25" fillId="0" borderId="2" xfId="0" applyNumberFormat="1" applyFont="1" applyBorder="1"/>
    <xf numFmtId="0" fontId="26" fillId="0" borderId="0" xfId="0" applyFont="1"/>
    <xf numFmtId="175" fontId="22" fillId="7" borderId="0" xfId="0" applyNumberFormat="1" applyFont="1" applyFill="1"/>
    <xf numFmtId="176" fontId="1" fillId="7" borderId="0" xfId="0" applyNumberFormat="1" applyFont="1" applyFill="1"/>
    <xf numFmtId="177" fontId="17" fillId="0" borderId="0" xfId="0" applyNumberFormat="1" applyFont="1"/>
    <xf numFmtId="177" fontId="0" fillId="0" borderId="0" xfId="0" applyNumberFormat="1"/>
    <xf numFmtId="177" fontId="1" fillId="0" borderId="3" xfId="0" applyNumberFormat="1" applyFont="1" applyBorder="1"/>
    <xf numFmtId="177" fontId="0" fillId="0" borderId="3" xfId="0" applyNumberFormat="1" applyBorder="1"/>
    <xf numFmtId="165" fontId="0" fillId="0" borderId="0" xfId="0" applyNumberFormat="1"/>
    <xf numFmtId="165" fontId="0" fillId="9" borderId="0" xfId="0" applyNumberFormat="1" applyFill="1" applyAlignment="1">
      <alignment horizontal="right" vertical="top"/>
    </xf>
    <xf numFmtId="0" fontId="0" fillId="9" borderId="0" xfId="0" applyFill="1" applyAlignment="1">
      <alignment horizontal="left" vertical="top"/>
    </xf>
    <xf numFmtId="177" fontId="1" fillId="0" borderId="8" xfId="0" applyNumberFormat="1" applyFont="1" applyBorder="1"/>
    <xf numFmtId="0" fontId="1" fillId="0" borderId="0" xfId="0" applyFont="1" applyAlignment="1">
      <alignment horizontal="right" vertical="top"/>
    </xf>
    <xf numFmtId="165" fontId="1" fillId="0" borderId="0" xfId="0" applyNumberFormat="1" applyFont="1" applyAlignment="1">
      <alignment horizontal="right" vertical="top"/>
    </xf>
    <xf numFmtId="178" fontId="1" fillId="0" borderId="0" xfId="0" applyNumberFormat="1" applyFont="1"/>
    <xf numFmtId="177" fontId="25" fillId="0" borderId="0" xfId="0" applyNumberFormat="1" applyFont="1"/>
    <xf numFmtId="177" fontId="3" fillId="0" borderId="0" xfId="0" applyNumberFormat="1" applyFont="1"/>
    <xf numFmtId="177" fontId="25" fillId="10" borderId="12" xfId="0" applyNumberFormat="1" applyFont="1" applyFill="1" applyBorder="1"/>
    <xf numFmtId="177" fontId="25" fillId="10" borderId="0" xfId="0" applyNumberFormat="1" applyFont="1" applyFill="1"/>
    <xf numFmtId="177" fontId="25" fillId="10" borderId="14" xfId="0" applyNumberFormat="1" applyFont="1" applyFill="1" applyBorder="1"/>
    <xf numFmtId="177" fontId="25" fillId="10" borderId="2" xfId="0" applyNumberFormat="1" applyFont="1" applyFill="1" applyBorder="1"/>
    <xf numFmtId="177" fontId="25" fillId="10" borderId="7" xfId="0" applyNumberFormat="1" applyFont="1" applyFill="1" applyBorder="1"/>
    <xf numFmtId="179" fontId="3" fillId="0" borderId="0" xfId="0" applyNumberFormat="1" applyFont="1"/>
    <xf numFmtId="179" fontId="0" fillId="0" borderId="3" xfId="0" applyNumberFormat="1" applyBorder="1"/>
    <xf numFmtId="179" fontId="0" fillId="0" borderId="0" xfId="0" applyNumberFormat="1"/>
    <xf numFmtId="179" fontId="0" fillId="0" borderId="13" xfId="0" applyNumberFormat="1" applyBorder="1"/>
    <xf numFmtId="179" fontId="0" fillId="0" borderId="2" xfId="0" applyNumberFormat="1" applyBorder="1"/>
    <xf numFmtId="179" fontId="0" fillId="0" borderId="15" xfId="0" applyNumberFormat="1" applyBorder="1"/>
    <xf numFmtId="179" fontId="0" fillId="0" borderId="8" xfId="0" applyNumberFormat="1" applyBorder="1"/>
    <xf numFmtId="179" fontId="0" fillId="0" borderId="9" xfId="0" applyNumberFormat="1" applyBorder="1"/>
    <xf numFmtId="182" fontId="3" fillId="0" borderId="0" xfId="0" applyNumberFormat="1" applyFont="1"/>
    <xf numFmtId="182" fontId="0" fillId="0" borderId="3" xfId="0" applyNumberFormat="1" applyBorder="1"/>
    <xf numFmtId="182" fontId="0" fillId="0" borderId="8" xfId="0" applyNumberFormat="1" applyBorder="1"/>
    <xf numFmtId="182" fontId="0" fillId="0" borderId="9" xfId="0" applyNumberFormat="1" applyBorder="1"/>
    <xf numFmtId="182" fontId="0" fillId="0" borderId="0" xfId="0" applyNumberFormat="1"/>
    <xf numFmtId="182" fontId="0" fillId="0" borderId="13" xfId="0" applyNumberFormat="1" applyBorder="1"/>
    <xf numFmtId="182" fontId="0" fillId="0" borderId="2" xfId="0" applyNumberFormat="1" applyBorder="1"/>
    <xf numFmtId="182" fontId="0" fillId="0" borderId="15" xfId="0" applyNumberFormat="1" applyBorder="1"/>
    <xf numFmtId="0" fontId="0" fillId="0" borderId="7" xfId="0" applyBorder="1"/>
    <xf numFmtId="9" fontId="26" fillId="0" borderId="0" xfId="0" applyNumberFormat="1" applyFont="1"/>
    <xf numFmtId="179" fontId="0" fillId="0" borderId="11" xfId="0" applyNumberFormat="1" applyBorder="1"/>
    <xf numFmtId="177" fontId="9" fillId="0" borderId="0" xfId="0" applyNumberFormat="1" applyFont="1"/>
    <xf numFmtId="167" fontId="25" fillId="0" borderId="7" xfId="1" applyNumberFormat="1" applyFont="1" applyBorder="1"/>
    <xf numFmtId="179" fontId="25" fillId="0" borderId="8" xfId="0" applyNumberFormat="1" applyFont="1" applyBorder="1"/>
    <xf numFmtId="179" fontId="3" fillId="0" borderId="13" xfId="0" applyNumberFormat="1" applyFont="1" applyBorder="1"/>
    <xf numFmtId="177" fontId="25" fillId="10" borderId="3" xfId="0" applyNumberFormat="1" applyFont="1" applyFill="1" applyBorder="1"/>
    <xf numFmtId="9" fontId="3" fillId="0" borderId="7" xfId="0" applyNumberFormat="1" applyFont="1" applyBorder="1"/>
    <xf numFmtId="9" fontId="3" fillId="0" borderId="8" xfId="0" applyNumberFormat="1" applyFont="1" applyBorder="1"/>
    <xf numFmtId="167" fontId="25" fillId="10" borderId="7" xfId="1" applyNumberFormat="1" applyFont="1" applyFill="1" applyBorder="1"/>
    <xf numFmtId="167" fontId="25" fillId="10" borderId="8" xfId="0" applyNumberFormat="1" applyFont="1" applyFill="1" applyBorder="1"/>
    <xf numFmtId="171" fontId="0" fillId="0" borderId="2" xfId="0" applyNumberFormat="1" applyBorder="1"/>
    <xf numFmtId="182" fontId="0" fillId="0" borderId="11" xfId="0" applyNumberFormat="1" applyBorder="1"/>
    <xf numFmtId="177" fontId="3" fillId="10" borderId="0" xfId="0" applyNumberFormat="1" applyFont="1" applyFill="1"/>
    <xf numFmtId="167" fontId="26" fillId="0" borderId="0" xfId="0" applyNumberFormat="1" applyFont="1"/>
    <xf numFmtId="167" fontId="25" fillId="0" borderId="0" xfId="0" applyNumberFormat="1" applyFont="1"/>
    <xf numFmtId="167" fontId="3" fillId="0" borderId="13" xfId="0" applyNumberFormat="1" applyFont="1" applyBorder="1"/>
    <xf numFmtId="182" fontId="3" fillId="0" borderId="13" xfId="0" applyNumberFormat="1" applyFont="1" applyBorder="1"/>
    <xf numFmtId="177" fontId="1" fillId="0" borderId="0" xfId="0" applyNumberFormat="1" applyFont="1"/>
    <xf numFmtId="183" fontId="25" fillId="0" borderId="0" xfId="0" applyNumberFormat="1" applyFont="1"/>
    <xf numFmtId="183" fontId="1" fillId="0" borderId="3" xfId="0" applyNumberFormat="1" applyFont="1" applyBorder="1"/>
    <xf numFmtId="9" fontId="3" fillId="0" borderId="9" xfId="1" applyFont="1" applyBorder="1"/>
    <xf numFmtId="167" fontId="0" fillId="0" borderId="8" xfId="0" applyNumberFormat="1" applyBorder="1"/>
    <xf numFmtId="167" fontId="3" fillId="0" borderId="8" xfId="0" applyNumberFormat="1" applyFont="1" applyBorder="1"/>
    <xf numFmtId="167" fontId="3" fillId="0" borderId="9" xfId="0" applyNumberFormat="1" applyFont="1" applyBorder="1"/>
    <xf numFmtId="167" fontId="25" fillId="0" borderId="12" xfId="0" applyNumberFormat="1" applyFont="1" applyBorder="1"/>
    <xf numFmtId="3" fontId="3" fillId="0" borderId="3" xfId="0" applyNumberFormat="1" applyFont="1" applyBorder="1"/>
    <xf numFmtId="3" fontId="0" fillId="0" borderId="3" xfId="0" applyNumberFormat="1" applyBorder="1"/>
    <xf numFmtId="177" fontId="25" fillId="0" borderId="8" xfId="0" applyNumberFormat="1" applyFont="1" applyBorder="1"/>
    <xf numFmtId="177" fontId="25" fillId="0" borderId="7" xfId="0" applyNumberFormat="1" applyFont="1" applyBorder="1"/>
    <xf numFmtId="177" fontId="25" fillId="0" borderId="9" xfId="0" applyNumberFormat="1" applyFont="1" applyBorder="1"/>
    <xf numFmtId="177" fontId="0" fillId="0" borderId="8" xfId="0" applyNumberFormat="1" applyBorder="1"/>
    <xf numFmtId="177" fontId="0" fillId="0" borderId="7" xfId="0" applyNumberFormat="1" applyBorder="1"/>
    <xf numFmtId="0" fontId="27" fillId="0" borderId="0" xfId="0" applyFont="1"/>
    <xf numFmtId="0" fontId="1" fillId="7" borderId="0" xfId="0" applyFont="1" applyFill="1"/>
    <xf numFmtId="0" fontId="0" fillId="10" borderId="0" xfId="0" applyFill="1"/>
    <xf numFmtId="167" fontId="0" fillId="10" borderId="0" xfId="0" applyNumberFormat="1" applyFill="1"/>
    <xf numFmtId="0" fontId="0" fillId="10" borderId="3" xfId="0" applyFill="1" applyBorder="1"/>
    <xf numFmtId="167" fontId="0" fillId="10" borderId="3" xfId="0" applyNumberFormat="1" applyFill="1" applyBorder="1"/>
    <xf numFmtId="0" fontId="0" fillId="10" borderId="8" xfId="0" applyFill="1" applyBorder="1"/>
    <xf numFmtId="167" fontId="0" fillId="10" borderId="8" xfId="0" applyNumberFormat="1" applyFill="1" applyBorder="1"/>
    <xf numFmtId="183" fontId="0" fillId="0" borderId="0" xfId="0" applyNumberFormat="1"/>
    <xf numFmtId="184" fontId="0" fillId="0" borderId="0" xfId="0" applyNumberFormat="1"/>
    <xf numFmtId="185" fontId="0" fillId="0" borderId="0" xfId="0" applyNumberFormat="1"/>
    <xf numFmtId="0" fontId="0" fillId="7" borderId="0" xfId="0" applyFill="1" applyAlignment="1">
      <alignment horizontal="left" indent="1"/>
    </xf>
    <xf numFmtId="172" fontId="25" fillId="0" borderId="0" xfId="0" applyNumberFormat="1" applyFont="1" applyAlignment="1">
      <alignment horizontal="center"/>
    </xf>
    <xf numFmtId="10" fontId="0" fillId="0" borderId="8" xfId="0" applyNumberFormat="1" applyBorder="1"/>
    <xf numFmtId="0" fontId="0" fillId="10" borderId="10" xfId="0" applyFill="1" applyBorder="1"/>
    <xf numFmtId="0" fontId="0" fillId="10" borderId="14" xfId="0" applyFill="1" applyBorder="1"/>
    <xf numFmtId="0" fontId="0" fillId="10" borderId="2" xfId="0" applyFill="1" applyBorder="1"/>
    <xf numFmtId="0" fontId="0" fillId="10" borderId="7" xfId="0" applyFill="1" applyBorder="1"/>
    <xf numFmtId="10" fontId="3" fillId="0" borderId="8" xfId="0" applyNumberFormat="1" applyFont="1" applyBorder="1"/>
    <xf numFmtId="10" fontId="0" fillId="0" borderId="3" xfId="0" applyNumberFormat="1" applyBorder="1"/>
    <xf numFmtId="10" fontId="0" fillId="0" borderId="2" xfId="0" applyNumberFormat="1" applyBorder="1"/>
    <xf numFmtId="10" fontId="3" fillId="0" borderId="9" xfId="0" applyNumberFormat="1" applyFont="1" applyBorder="1"/>
    <xf numFmtId="10" fontId="3" fillId="0" borderId="7" xfId="0" applyNumberFormat="1" applyFont="1" applyBorder="1"/>
    <xf numFmtId="10" fontId="0" fillId="0" borderId="11" xfId="0" applyNumberFormat="1" applyBorder="1"/>
    <xf numFmtId="10" fontId="0" fillId="0" borderId="15" xfId="0" applyNumberFormat="1" applyBorder="1"/>
    <xf numFmtId="10" fontId="0" fillId="0" borderId="9" xfId="0" applyNumberFormat="1" applyBorder="1"/>
    <xf numFmtId="2" fontId="0" fillId="0" borderId="0" xfId="0" applyNumberFormat="1"/>
    <xf numFmtId="0" fontId="28" fillId="0" borderId="0" xfId="0" applyFont="1"/>
    <xf numFmtId="3" fontId="0" fillId="0" borderId="11" xfId="0" applyNumberFormat="1" applyBorder="1"/>
    <xf numFmtId="3" fontId="0" fillId="0" borderId="13" xfId="0" applyNumberFormat="1" applyBorder="1"/>
    <xf numFmtId="167" fontId="0" fillId="0" borderId="13" xfId="0" applyNumberFormat="1" applyBorder="1"/>
    <xf numFmtId="178" fontId="0" fillId="0" borderId="0" xfId="0" applyNumberFormat="1"/>
    <xf numFmtId="0" fontId="29" fillId="0" borderId="0" xfId="0" applyFont="1" applyAlignment="1">
      <alignment horizontal="center"/>
    </xf>
    <xf numFmtId="9" fontId="30" fillId="0" borderId="0" xfId="0" applyNumberFormat="1" applyFont="1" applyAlignment="1">
      <alignment horizontal="center"/>
    </xf>
    <xf numFmtId="3" fontId="25" fillId="0" borderId="8" xfId="0" applyNumberFormat="1" applyFont="1" applyBorder="1"/>
    <xf numFmtId="3" fontId="25" fillId="0" borderId="9" xfId="0" applyNumberFormat="1" applyFont="1" applyBorder="1"/>
    <xf numFmtId="176" fontId="1" fillId="7" borderId="0" xfId="0" applyNumberFormat="1" applyFont="1" applyFill="1" applyAlignment="1">
      <alignment horizontal="left" indent="5"/>
    </xf>
    <xf numFmtId="9" fontId="26" fillId="7" borderId="0" xfId="0" applyNumberFormat="1" applyFont="1" applyFill="1"/>
    <xf numFmtId="0" fontId="1" fillId="10" borderId="0" xfId="0" applyFont="1" applyFill="1"/>
    <xf numFmtId="0" fontId="0" fillId="8" borderId="0" xfId="0" applyFill="1"/>
    <xf numFmtId="0" fontId="21" fillId="8" borderId="0" xfId="0" applyFont="1" applyFill="1"/>
    <xf numFmtId="10" fontId="25" fillId="0" borderId="0" xfId="0" applyNumberFormat="1" applyFont="1"/>
    <xf numFmtId="0" fontId="12" fillId="0" borderId="0" xfId="0" applyFont="1"/>
    <xf numFmtId="0" fontId="33" fillId="0" borderId="0" xfId="0" applyFont="1"/>
    <xf numFmtId="0" fontId="0" fillId="0" borderId="20" xfId="0" applyBorder="1" applyAlignment="1">
      <alignment horizontal="center"/>
    </xf>
    <xf numFmtId="9" fontId="25" fillId="0" borderId="21" xfId="0" applyNumberFormat="1" applyFont="1" applyBorder="1" applyAlignment="1">
      <alignment horizontal="center"/>
    </xf>
    <xf numFmtId="0" fontId="25" fillId="0" borderId="0" xfId="0" applyFont="1"/>
    <xf numFmtId="9" fontId="32" fillId="7" borderId="0" xfId="0" applyNumberFormat="1" applyFont="1" applyFill="1"/>
    <xf numFmtId="186" fontId="12" fillId="0" borderId="22" xfId="1" applyNumberFormat="1" applyFont="1" applyFill="1" applyBorder="1" applyAlignment="1" applyProtection="1">
      <alignment horizontal="center"/>
      <protection locked="0"/>
    </xf>
    <xf numFmtId="177" fontId="0" fillId="0" borderId="2" xfId="0" applyNumberFormat="1" applyBorder="1"/>
    <xf numFmtId="0" fontId="29" fillId="0" borderId="0" xfId="0" applyFont="1"/>
    <xf numFmtId="0" fontId="34" fillId="0" borderId="0" xfId="0" applyFont="1"/>
    <xf numFmtId="0" fontId="29" fillId="0" borderId="0" xfId="0" applyFont="1" applyAlignment="1">
      <alignment horizontal="right"/>
    </xf>
    <xf numFmtId="175" fontId="15" fillId="0" borderId="24" xfId="2" applyNumberFormat="1" applyFont="1" applyBorder="1" applyAlignment="1">
      <alignment horizontal="right"/>
    </xf>
    <xf numFmtId="14" fontId="0" fillId="0" borderId="0" xfId="0" applyNumberFormat="1"/>
    <xf numFmtId="169" fontId="3" fillId="0" borderId="0" xfId="0" applyNumberFormat="1" applyFont="1"/>
    <xf numFmtId="169" fontId="25" fillId="0" borderId="2" xfId="0" applyNumberFormat="1" applyFont="1" applyBorder="1"/>
    <xf numFmtId="169" fontId="0" fillId="0" borderId="2" xfId="0" applyNumberFormat="1" applyBorder="1"/>
    <xf numFmtId="0" fontId="34" fillId="0" borderId="0" xfId="0" applyFont="1" applyAlignment="1">
      <alignment horizontal="center"/>
    </xf>
    <xf numFmtId="0" fontId="1" fillId="0" borderId="25" xfId="0" applyFont="1" applyBorder="1" applyAlignment="1">
      <alignment horizontal="center"/>
    </xf>
    <xf numFmtId="188" fontId="1" fillId="0" borderId="25" xfId="0" applyNumberFormat="1" applyFont="1" applyBorder="1" applyAlignment="1">
      <alignment horizontal="center"/>
    </xf>
    <xf numFmtId="189" fontId="1" fillId="0" borderId="25" xfId="0" applyNumberFormat="1" applyFont="1" applyBorder="1" applyAlignment="1">
      <alignment horizontal="center"/>
    </xf>
    <xf numFmtId="0" fontId="29" fillId="0" borderId="2" xfId="0" applyFont="1" applyBorder="1"/>
    <xf numFmtId="187" fontId="35" fillId="0" borderId="23" xfId="0" applyNumberFormat="1" applyFont="1" applyBorder="1" applyAlignment="1">
      <alignment horizontal="center"/>
    </xf>
    <xf numFmtId="0" fontId="37" fillId="0" borderId="0" xfId="0" applyFont="1"/>
    <xf numFmtId="10" fontId="32" fillId="0" borderId="0" xfId="0" applyNumberFormat="1" applyFont="1"/>
    <xf numFmtId="177" fontId="26" fillId="0" borderId="0" xfId="0" applyNumberFormat="1" applyFont="1"/>
    <xf numFmtId="9" fontId="32" fillId="7" borderId="0" xfId="0" applyNumberFormat="1" applyFont="1" applyFill="1" applyAlignment="1">
      <alignment horizontal="right"/>
    </xf>
    <xf numFmtId="14" fontId="26" fillId="0" borderId="0" xfId="0" applyNumberFormat="1" applyFont="1"/>
    <xf numFmtId="14" fontId="38" fillId="0" borderId="0" xfId="0" applyNumberFormat="1" applyFont="1"/>
    <xf numFmtId="0" fontId="38" fillId="0" borderId="0" xfId="0" applyFont="1"/>
    <xf numFmtId="2" fontId="32" fillId="0" borderId="0" xfId="0" applyNumberFormat="1" applyFont="1"/>
    <xf numFmtId="0" fontId="32" fillId="0" borderId="0" xfId="0" applyFont="1"/>
    <xf numFmtId="1" fontId="26" fillId="0" borderId="0" xfId="0" applyNumberFormat="1" applyFont="1"/>
    <xf numFmtId="176" fontId="1" fillId="7" borderId="26" xfId="0" applyNumberFormat="1" applyFont="1" applyFill="1" applyBorder="1"/>
    <xf numFmtId="0" fontId="26" fillId="0" borderId="0" xfId="0" applyFont="1" applyAlignment="1">
      <alignment horizontal="left"/>
    </xf>
    <xf numFmtId="167" fontId="0" fillId="0" borderId="27" xfId="0" applyNumberFormat="1" applyBorder="1"/>
    <xf numFmtId="167" fontId="0" fillId="0" borderId="28" xfId="0" applyNumberFormat="1" applyBorder="1"/>
    <xf numFmtId="10" fontId="0" fillId="0" borderId="12" xfId="0" applyNumberFormat="1" applyBorder="1"/>
    <xf numFmtId="10" fontId="0" fillId="0" borderId="31" xfId="0" applyNumberFormat="1" applyBorder="1"/>
    <xf numFmtId="1" fontId="0" fillId="0" borderId="12" xfId="0" applyNumberFormat="1" applyBorder="1"/>
    <xf numFmtId="1" fontId="0" fillId="0" borderId="31" xfId="0" applyNumberFormat="1" applyBorder="1"/>
    <xf numFmtId="1" fontId="0" fillId="0" borderId="29" xfId="0" applyNumberFormat="1" applyBorder="1"/>
    <xf numFmtId="1" fontId="0" fillId="0" borderId="30" xfId="0" applyNumberFormat="1" applyBorder="1"/>
    <xf numFmtId="0" fontId="0" fillId="0" borderId="34" xfId="0" applyBorder="1"/>
    <xf numFmtId="177" fontId="0" fillId="0" borderId="34" xfId="0" applyNumberFormat="1" applyBorder="1"/>
    <xf numFmtId="177" fontId="25" fillId="0" borderId="34" xfId="0" applyNumberFormat="1" applyFont="1" applyBorder="1"/>
    <xf numFmtId="177" fontId="9" fillId="0" borderId="34" xfId="0" applyNumberFormat="1" applyFont="1" applyBorder="1"/>
    <xf numFmtId="177" fontId="1" fillId="0" borderId="35" xfId="0" applyNumberFormat="1" applyFont="1" applyBorder="1"/>
    <xf numFmtId="177" fontId="0" fillId="7" borderId="8" xfId="0" applyNumberFormat="1" applyFill="1" applyBorder="1"/>
    <xf numFmtId="177" fontId="0" fillId="7" borderId="9" xfId="0" applyNumberFormat="1" applyFill="1" applyBorder="1"/>
    <xf numFmtId="184" fontId="1" fillId="0" borderId="3" xfId="0" applyNumberFormat="1" applyFont="1" applyBorder="1"/>
    <xf numFmtId="14" fontId="21" fillId="11" borderId="0" xfId="0" applyNumberFormat="1" applyFont="1" applyFill="1" applyAlignment="1">
      <alignment wrapText="1"/>
    </xf>
    <xf numFmtId="177" fontId="1" fillId="0" borderId="36" xfId="0" applyNumberFormat="1" applyFont="1" applyBorder="1"/>
    <xf numFmtId="184" fontId="0" fillId="0" borderId="34" xfId="0" applyNumberFormat="1" applyBorder="1"/>
    <xf numFmtId="177" fontId="0" fillId="0" borderId="9" xfId="0" applyNumberFormat="1" applyBorder="1"/>
    <xf numFmtId="4" fontId="0" fillId="0" borderId="0" xfId="0" applyNumberFormat="1"/>
    <xf numFmtId="0" fontId="29" fillId="0" borderId="2" xfId="0" applyFont="1" applyBorder="1" applyAlignment="1">
      <alignment horizontal="right"/>
    </xf>
    <xf numFmtId="169" fontId="25" fillId="0" borderId="0" xfId="0" applyNumberFormat="1" applyFont="1"/>
    <xf numFmtId="168" fontId="25" fillId="0" borderId="0" xfId="0" applyNumberFormat="1" applyFont="1"/>
    <xf numFmtId="0" fontId="25" fillId="0" borderId="2" xfId="0" applyFont="1" applyBorder="1"/>
    <xf numFmtId="3" fontId="39" fillId="0" borderId="0" xfId="0" applyNumberFormat="1" applyFont="1"/>
    <xf numFmtId="168" fontId="39" fillId="0" borderId="0" xfId="0" applyNumberFormat="1" applyFont="1"/>
    <xf numFmtId="171" fontId="25" fillId="0" borderId="0" xfId="0" applyNumberFormat="1" applyFont="1"/>
    <xf numFmtId="166" fontId="25" fillId="0" borderId="0" xfId="0" applyNumberFormat="1" applyFont="1"/>
    <xf numFmtId="9" fontId="25" fillId="0" borderId="0" xfId="0" applyNumberFormat="1" applyFont="1"/>
    <xf numFmtId="0" fontId="40" fillId="0" borderId="2" xfId="0" applyFont="1" applyBorder="1" applyAlignment="1">
      <alignment horizontal="centerContinuous"/>
    </xf>
    <xf numFmtId="0" fontId="0" fillId="0" borderId="0" xfId="0" applyAlignment="1">
      <alignment horizontal="centerContinuous"/>
    </xf>
    <xf numFmtId="169" fontId="43" fillId="0" borderId="0" xfId="0" applyNumberFormat="1" applyFont="1" applyAlignment="1">
      <alignment horizontal="centerContinuous"/>
    </xf>
    <xf numFmtId="169" fontId="23" fillId="0" borderId="0" xfId="0" applyNumberFormat="1" applyFont="1"/>
    <xf numFmtId="0" fontId="44" fillId="0" borderId="0" xfId="0" applyFont="1" applyAlignment="1">
      <alignment horizontal="centerContinuous"/>
    </xf>
    <xf numFmtId="0" fontId="45" fillId="0" borderId="0" xfId="0" applyFont="1" applyAlignment="1">
      <alignment horizontal="centerContinuous"/>
    </xf>
    <xf numFmtId="0" fontId="46" fillId="0" borderId="0" xfId="0" applyFont="1" applyAlignment="1">
      <alignment horizontal="centerContinuous"/>
    </xf>
    <xf numFmtId="0" fontId="34" fillId="0" borderId="0" xfId="0" applyFont="1" applyAlignment="1">
      <alignment horizontal="centerContinuous"/>
    </xf>
    <xf numFmtId="0" fontId="47" fillId="0" borderId="0" xfId="0" applyFont="1" applyAlignment="1">
      <alignment horizontal="center"/>
    </xf>
    <xf numFmtId="191" fontId="36" fillId="0" borderId="23" xfId="0" applyNumberFormat="1" applyFont="1" applyBorder="1" applyAlignment="1">
      <alignment horizontal="center"/>
    </xf>
    <xf numFmtId="0" fontId="34" fillId="0" borderId="2" xfId="0" applyFont="1" applyBorder="1"/>
    <xf numFmtId="0" fontId="29" fillId="0" borderId="2" xfId="0" applyFont="1" applyBorder="1" applyAlignment="1">
      <alignment horizontal="center"/>
    </xf>
    <xf numFmtId="188" fontId="36" fillId="0" borderId="0" xfId="0" applyNumberFormat="1" applyFont="1"/>
    <xf numFmtId="188" fontId="0" fillId="0" borderId="0" xfId="0" applyNumberFormat="1"/>
    <xf numFmtId="9" fontId="25" fillId="0" borderId="0" xfId="0" applyNumberFormat="1" applyFont="1" applyAlignment="1">
      <alignment horizontal="center"/>
    </xf>
    <xf numFmtId="169" fontId="25" fillId="0" borderId="0" xfId="0" applyNumberFormat="1" applyFont="1" applyAlignment="1">
      <alignment horizontal="center"/>
    </xf>
    <xf numFmtId="9" fontId="31" fillId="0" borderId="0" xfId="0" applyNumberFormat="1" applyFont="1"/>
    <xf numFmtId="169" fontId="31" fillId="0" borderId="0" xfId="0" applyNumberFormat="1" applyFont="1"/>
    <xf numFmtId="169" fontId="9" fillId="0" borderId="11" xfId="0" applyNumberFormat="1" applyFont="1" applyBorder="1" applyAlignment="1">
      <alignment horizontal="center"/>
    </xf>
    <xf numFmtId="169" fontId="9" fillId="0" borderId="12" xfId="0" applyNumberFormat="1" applyFont="1" applyBorder="1" applyAlignment="1">
      <alignment horizontal="center"/>
    </xf>
    <xf numFmtId="169" fontId="9" fillId="0" borderId="13" xfId="0" applyNumberFormat="1" applyFont="1" applyBorder="1" applyAlignment="1">
      <alignment horizontal="center"/>
    </xf>
    <xf numFmtId="169" fontId="3" fillId="0" borderId="12" xfId="0" applyNumberFormat="1" applyFont="1" applyBorder="1" applyAlignment="1">
      <alignment horizontal="center"/>
    </xf>
    <xf numFmtId="169" fontId="9" fillId="0" borderId="14" xfId="0" applyNumberFormat="1" applyFont="1" applyBorder="1" applyAlignment="1">
      <alignment horizontal="center"/>
    </xf>
    <xf numFmtId="169" fontId="9" fillId="0" borderId="15" xfId="0" applyNumberFormat="1" applyFont="1" applyBorder="1" applyAlignment="1">
      <alignment horizontal="center"/>
    </xf>
    <xf numFmtId="9" fontId="0" fillId="0" borderId="16" xfId="0" applyNumberFormat="1" applyBorder="1" applyAlignment="1">
      <alignment horizontal="center"/>
    </xf>
    <xf numFmtId="9" fontId="0" fillId="0" borderId="17" xfId="0" applyNumberFormat="1" applyBorder="1" applyAlignment="1">
      <alignment horizontal="center"/>
    </xf>
    <xf numFmtId="9" fontId="0" fillId="0" borderId="18" xfId="0" applyNumberFormat="1" applyBorder="1" applyAlignment="1">
      <alignment horizontal="center"/>
    </xf>
    <xf numFmtId="0" fontId="48" fillId="0" borderId="0" xfId="0" applyFont="1" applyAlignment="1">
      <alignment horizontal="centerContinuous"/>
    </xf>
    <xf numFmtId="167" fontId="39" fillId="0" borderId="4" xfId="0" applyNumberFormat="1" applyFont="1" applyBorder="1" applyAlignment="1">
      <alignment horizontal="center"/>
    </xf>
    <xf numFmtId="190" fontId="34" fillId="0" borderId="0" xfId="0" applyNumberFormat="1" applyFont="1" applyAlignment="1">
      <alignment horizontal="left"/>
    </xf>
    <xf numFmtId="190" fontId="36" fillId="0" borderId="0" xfId="0" applyNumberFormat="1" applyFont="1" applyAlignment="1">
      <alignment horizontal="left"/>
    </xf>
    <xf numFmtId="0" fontId="17" fillId="0" borderId="37" xfId="0" applyFont="1" applyBorder="1" applyAlignment="1">
      <alignment horizontal="left" vertical="center" wrapText="1"/>
    </xf>
    <xf numFmtId="0" fontId="17" fillId="0" borderId="37" xfId="0" applyFont="1" applyBorder="1" applyAlignment="1">
      <alignment horizontal="left" vertical="center"/>
    </xf>
    <xf numFmtId="0" fontId="18" fillId="0" borderId="37" xfId="0" applyFont="1" applyBorder="1" applyAlignment="1">
      <alignment horizontal="left" vertical="center"/>
    </xf>
    <xf numFmtId="0" fontId="49" fillId="0" borderId="4" xfId="0" applyFont="1" applyBorder="1" applyAlignment="1">
      <alignment horizontal="left" vertical="top" wrapText="1"/>
    </xf>
    <xf numFmtId="0" fontId="49" fillId="0" borderId="4" xfId="0" applyFont="1" applyBorder="1" applyAlignment="1">
      <alignment horizontal="right" vertical="top" wrapText="1"/>
    </xf>
    <xf numFmtId="0" fontId="50" fillId="0" borderId="0" xfId="0" applyFont="1"/>
    <xf numFmtId="0" fontId="49" fillId="0" borderId="38" xfId="0" applyFont="1" applyBorder="1" applyAlignment="1">
      <alignment horizontal="left" vertical="top"/>
    </xf>
    <xf numFmtId="0" fontId="49" fillId="0" borderId="4" xfId="0" applyFont="1" applyBorder="1" applyAlignment="1">
      <alignment horizontal="left" vertical="top"/>
    </xf>
    <xf numFmtId="0" fontId="0" fillId="0" borderId="0" xfId="0" applyAlignment="1">
      <alignment wrapText="1"/>
    </xf>
    <xf numFmtId="0" fontId="49" fillId="0" borderId="39" xfId="0" applyFont="1" applyBorder="1" applyAlignment="1">
      <alignment horizontal="right" vertical="top"/>
    </xf>
    <xf numFmtId="0" fontId="0" fillId="0" borderId="9" xfId="0" applyBorder="1"/>
    <xf numFmtId="0" fontId="49" fillId="0" borderId="4" xfId="0" applyFont="1" applyBorder="1" applyAlignment="1">
      <alignment vertical="center" wrapText="1"/>
    </xf>
    <xf numFmtId="0" fontId="49" fillId="0" borderId="4" xfId="0" applyFont="1" applyBorder="1" applyAlignment="1">
      <alignment horizontal="right" vertical="center" wrapText="1"/>
    </xf>
    <xf numFmtId="0" fontId="49" fillId="0" borderId="40" xfId="0" applyFont="1" applyBorder="1" applyAlignment="1">
      <alignment vertical="center"/>
    </xf>
    <xf numFmtId="0" fontId="49" fillId="0" borderId="41" xfId="0" applyFont="1" applyBorder="1" applyAlignment="1">
      <alignment horizontal="right" vertical="center"/>
    </xf>
    <xf numFmtId="0" fontId="49" fillId="0" borderId="4" xfId="0" applyFont="1" applyBorder="1" applyAlignment="1">
      <alignment vertical="center"/>
    </xf>
    <xf numFmtId="0" fontId="49" fillId="0" borderId="42" xfId="0" applyFont="1" applyBorder="1" applyAlignment="1">
      <alignment vertical="center"/>
    </xf>
    <xf numFmtId="0" fontId="49" fillId="0" borderId="0" xfId="0" applyFont="1" applyAlignment="1">
      <alignment horizontal="right" vertical="center"/>
    </xf>
    <xf numFmtId="0" fontId="17" fillId="12" borderId="37" xfId="0" applyFont="1" applyFill="1" applyBorder="1" applyAlignment="1">
      <alignment horizontal="left" vertical="center" wrapText="1"/>
    </xf>
    <xf numFmtId="1" fontId="0" fillId="0" borderId="0" xfId="0" applyNumberFormat="1"/>
    <xf numFmtId="0" fontId="21" fillId="11" borderId="0" xfId="0" applyFont="1" applyFill="1" applyAlignment="1">
      <alignment horizontal="centerContinuous"/>
    </xf>
    <xf numFmtId="0" fontId="31" fillId="11" borderId="0" xfId="0" applyFont="1" applyFill="1" applyAlignment="1">
      <alignment horizontal="centerContinuous"/>
    </xf>
    <xf numFmtId="0" fontId="21" fillId="6" borderId="0" xfId="0" applyFont="1" applyFill="1" applyAlignment="1">
      <alignment horizontal="centerContinuous"/>
    </xf>
    <xf numFmtId="0" fontId="0" fillId="6" borderId="0" xfId="0" applyFill="1" applyAlignment="1">
      <alignment horizontal="centerContinuous"/>
    </xf>
    <xf numFmtId="0" fontId="51" fillId="0" borderId="0" xfId="0" applyFont="1" applyAlignment="1">
      <alignment horizontal="left" indent="1"/>
    </xf>
    <xf numFmtId="0" fontId="52" fillId="0" borderId="0" xfId="0" applyFont="1" applyAlignment="1">
      <alignment horizontal="centerContinuous"/>
    </xf>
    <xf numFmtId="0" fontId="51" fillId="0" borderId="0" xfId="0" applyFont="1"/>
    <xf numFmtId="3" fontId="3" fillId="0" borderId="2" xfId="0" applyNumberFormat="1" applyFont="1" applyBorder="1"/>
    <xf numFmtId="3" fontId="3" fillId="0" borderId="15" xfId="0" applyNumberFormat="1" applyFont="1" applyBorder="1"/>
    <xf numFmtId="1" fontId="0" fillId="0" borderId="32" xfId="0" applyNumberFormat="1" applyBorder="1"/>
    <xf numFmtId="1" fontId="0" fillId="0" borderId="33" xfId="0" applyNumberFormat="1" applyBorder="1"/>
    <xf numFmtId="171" fontId="0" fillId="0" borderId="11" xfId="0" applyNumberFormat="1" applyBorder="1"/>
    <xf numFmtId="171" fontId="0" fillId="0" borderId="13" xfId="0" applyNumberFormat="1" applyBorder="1"/>
    <xf numFmtId="171" fontId="0" fillId="0" borderId="15" xfId="0" applyNumberFormat="1" applyBorder="1"/>
    <xf numFmtId="177" fontId="0" fillId="7" borderId="0" xfId="0" applyNumberFormat="1" applyFill="1"/>
    <xf numFmtId="167" fontId="0" fillId="0" borderId="0" xfId="1" applyNumberFormat="1" applyFont="1"/>
    <xf numFmtId="180" fontId="3" fillId="0" borderId="16" xfId="0" applyNumberFormat="1" applyFont="1" applyBorder="1"/>
    <xf numFmtId="9" fontId="3" fillId="0" borderId="17" xfId="0" applyNumberFormat="1" applyFont="1" applyBorder="1"/>
    <xf numFmtId="9" fontId="3" fillId="0" borderId="18" xfId="0" applyNumberFormat="1" applyFont="1" applyBorder="1"/>
    <xf numFmtId="181" fontId="3" fillId="0" borderId="16" xfId="0" applyNumberFormat="1" applyFont="1" applyBorder="1"/>
    <xf numFmtId="167" fontId="3" fillId="0" borderId="18" xfId="0" applyNumberFormat="1" applyFont="1" applyBorder="1"/>
    <xf numFmtId="9" fontId="3" fillId="7" borderId="18" xfId="0" applyNumberFormat="1" applyFont="1" applyFill="1" applyBorder="1"/>
    <xf numFmtId="181" fontId="3" fillId="0" borderId="18" xfId="0" applyNumberFormat="1" applyFont="1" applyBorder="1"/>
    <xf numFmtId="167" fontId="22" fillId="0" borderId="19" xfId="0" applyNumberFormat="1" applyFont="1" applyBorder="1"/>
    <xf numFmtId="177" fontId="3" fillId="0" borderId="4" xfId="0" applyNumberFormat="1" applyFont="1" applyBorder="1"/>
    <xf numFmtId="177" fontId="3" fillId="0" borderId="8" xfId="0" applyNumberFormat="1" applyFont="1" applyBorder="1"/>
    <xf numFmtId="177" fontId="3" fillId="0" borderId="34" xfId="0" applyNumberFormat="1" applyFont="1" applyBorder="1"/>
    <xf numFmtId="192" fontId="0" fillId="0" borderId="0" xfId="0" applyNumberFormat="1"/>
    <xf numFmtId="9" fontId="1" fillId="0" borderId="0" xfId="1" applyFont="1"/>
    <xf numFmtId="9" fontId="0" fillId="0" borderId="0" xfId="1" applyFont="1"/>
    <xf numFmtId="9" fontId="15" fillId="5" borderId="0" xfId="1" applyFont="1" applyFill="1" applyAlignment="1">
      <alignment horizontal="left" vertical="top"/>
    </xf>
    <xf numFmtId="9" fontId="15" fillId="5" borderId="0" xfId="1" applyFont="1" applyFill="1" applyAlignment="1">
      <alignment horizontal="right" vertical="top"/>
    </xf>
    <xf numFmtId="9" fontId="0" fillId="0" borderId="0" xfId="1" applyFont="1" applyAlignment="1">
      <alignment vertical="center"/>
    </xf>
    <xf numFmtId="9" fontId="0" fillId="0" borderId="0" xfId="1" applyFont="1" applyAlignment="1">
      <alignment horizontal="right" vertical="top" wrapText="1"/>
    </xf>
    <xf numFmtId="9" fontId="0" fillId="9" borderId="0" xfId="1" applyFont="1" applyFill="1" applyAlignment="1">
      <alignment horizontal="right" vertical="top" wrapText="1"/>
    </xf>
    <xf numFmtId="9" fontId="0" fillId="9" borderId="0" xfId="1" applyFont="1" applyFill="1"/>
    <xf numFmtId="9" fontId="0" fillId="3" borderId="0" xfId="1" applyFont="1" applyFill="1" applyAlignment="1">
      <alignment horizontal="right" vertical="top" wrapText="1"/>
    </xf>
    <xf numFmtId="9" fontId="0" fillId="3" borderId="0" xfId="1" applyFont="1" applyFill="1"/>
    <xf numFmtId="9" fontId="0" fillId="4" borderId="0" xfId="1" applyFont="1" applyFill="1" applyAlignment="1">
      <alignment horizontal="right" vertical="top" wrapText="1"/>
    </xf>
    <xf numFmtId="9" fontId="0" fillId="4" borderId="0" xfId="1" applyFont="1" applyFill="1"/>
    <xf numFmtId="9" fontId="0" fillId="0" borderId="0" xfId="1" applyFont="1" applyAlignment="1">
      <alignment horizontal="left" vertical="top" wrapText="1"/>
    </xf>
    <xf numFmtId="1" fontId="53" fillId="0" borderId="0" xfId="0" applyNumberFormat="1" applyFont="1"/>
    <xf numFmtId="177" fontId="0" fillId="0" borderId="27" xfId="0" applyNumberFormat="1" applyBorder="1"/>
    <xf numFmtId="177" fontId="0" fillId="0" borderId="28" xfId="0" applyNumberFormat="1" applyBorder="1"/>
    <xf numFmtId="177" fontId="0" fillId="7" borderId="27" xfId="0" applyNumberFormat="1" applyFill="1" applyBorder="1"/>
    <xf numFmtId="177" fontId="0" fillId="7" borderId="28" xfId="0" applyNumberFormat="1" applyFill="1" applyBorder="1"/>
    <xf numFmtId="179" fontId="26" fillId="0" borderId="0" xfId="0" applyNumberFormat="1" applyFont="1"/>
    <xf numFmtId="9" fontId="26" fillId="0" borderId="34" xfId="0" applyNumberFormat="1" applyFont="1" applyBorder="1"/>
    <xf numFmtId="177" fontId="1" fillId="0" borderId="34" xfId="0" applyNumberFormat="1" applyFont="1" applyBorder="1"/>
    <xf numFmtId="0" fontId="1" fillId="0" borderId="34" xfId="0" applyFont="1" applyBorder="1"/>
    <xf numFmtId="10" fontId="25" fillId="0" borderId="34" xfId="0" applyNumberFormat="1" applyFont="1" applyBorder="1"/>
    <xf numFmtId="177" fontId="0" fillId="0" borderId="35" xfId="0" applyNumberFormat="1" applyBorder="1"/>
    <xf numFmtId="9" fontId="38" fillId="7" borderId="34" xfId="0" applyNumberFormat="1" applyFont="1" applyFill="1" applyBorder="1"/>
    <xf numFmtId="0" fontId="3" fillId="0" borderId="34" xfId="0" applyFont="1" applyBorder="1"/>
    <xf numFmtId="177" fontId="38" fillId="0" borderId="34" xfId="0" applyNumberFormat="1" applyFont="1" applyBorder="1"/>
    <xf numFmtId="177" fontId="22" fillId="0" borderId="35" xfId="0" applyNumberFormat="1" applyFont="1" applyBorder="1"/>
    <xf numFmtId="10" fontId="0" fillId="0" borderId="34" xfId="0" applyNumberFormat="1" applyBorder="1"/>
    <xf numFmtId="177" fontId="1" fillId="7" borderId="34" xfId="0" applyNumberFormat="1" applyFont="1" applyFill="1" applyBorder="1"/>
    <xf numFmtId="177" fontId="3" fillId="0" borderId="3" xfId="0" applyNumberFormat="1" applyFont="1" applyBorder="1"/>
    <xf numFmtId="10" fontId="32" fillId="0" borderId="34" xfId="0" applyNumberFormat="1" applyFont="1" applyBorder="1"/>
    <xf numFmtId="177" fontId="3" fillId="0" borderId="43" xfId="0" applyNumberFormat="1" applyFont="1" applyBorder="1"/>
    <xf numFmtId="14" fontId="25" fillId="0" borderId="8" xfId="0" applyNumberFormat="1" applyFont="1" applyBorder="1"/>
    <xf numFmtId="14" fontId="0" fillId="0" borderId="8" xfId="0" applyNumberFormat="1" applyBorder="1"/>
    <xf numFmtId="14" fontId="0" fillId="0" borderId="9" xfId="0" applyNumberFormat="1" applyBorder="1"/>
    <xf numFmtId="187" fontId="0" fillId="0" borderId="7" xfId="0" applyNumberFormat="1" applyBorder="1"/>
    <xf numFmtId="169" fontId="9" fillId="0" borderId="16" xfId="0" applyNumberFormat="1" applyFont="1" applyBorder="1" applyAlignment="1">
      <alignment horizontal="center"/>
    </xf>
    <xf numFmtId="0" fontId="31" fillId="0" borderId="0" xfId="0" applyFont="1" applyAlignment="1">
      <alignment horizontal="center"/>
    </xf>
    <xf numFmtId="0" fontId="31" fillId="0" borderId="0" xfId="0" applyFont="1"/>
    <xf numFmtId="0" fontId="54" fillId="0" borderId="0" xfId="0" applyFont="1"/>
    <xf numFmtId="186" fontId="1" fillId="0" borderId="0" xfId="0" applyNumberFormat="1" applyFont="1"/>
    <xf numFmtId="0" fontId="0" fillId="0" borderId="44" xfId="0" applyBorder="1"/>
    <xf numFmtId="0" fontId="0" fillId="0" borderId="45" xfId="0" applyBorder="1"/>
    <xf numFmtId="0" fontId="0" fillId="0" borderId="46" xfId="0" applyBorder="1"/>
    <xf numFmtId="0" fontId="0" fillId="0" borderId="47" xfId="0" applyBorder="1"/>
    <xf numFmtId="0" fontId="0" fillId="0" borderId="48" xfId="0" applyBorder="1"/>
    <xf numFmtId="0" fontId="0" fillId="0" borderId="25" xfId="0" applyBorder="1"/>
    <xf numFmtId="0" fontId="0" fillId="0" borderId="50" xfId="0" applyBorder="1"/>
    <xf numFmtId="0" fontId="55" fillId="0" borderId="0" xfId="0" applyFont="1" applyAlignment="1">
      <alignment horizontal="centerContinuous"/>
    </xf>
    <xf numFmtId="167" fontId="41" fillId="0" borderId="0" xfId="0" applyNumberFormat="1" applyFont="1" applyAlignment="1">
      <alignment horizontal="centerContinuous"/>
    </xf>
    <xf numFmtId="193" fontId="25" fillId="0" borderId="0" xfId="0" applyNumberFormat="1" applyFont="1"/>
    <xf numFmtId="194" fontId="0" fillId="0" borderId="0" xfId="0" applyNumberFormat="1"/>
    <xf numFmtId="0" fontId="57" fillId="0" borderId="47" xfId="8" applyFont="1" applyBorder="1"/>
    <xf numFmtId="0" fontId="57" fillId="0" borderId="49" xfId="8" applyFont="1" applyBorder="1"/>
    <xf numFmtId="195" fontId="42" fillId="0" borderId="0" xfId="0" applyNumberFormat="1" applyFont="1" applyAlignment="1">
      <alignment horizontal="centerContinuous"/>
    </xf>
    <xf numFmtId="196" fontId="0" fillId="0" borderId="0" xfId="0" applyNumberFormat="1"/>
  </cellXfs>
  <cellStyles count="9">
    <cellStyle name="Comma 2" xfId="4" xr:uid="{1EB95B72-9D5D-4790-AF9A-36E8F89FEF07}"/>
    <cellStyle name="Comma 3" xfId="3" xr:uid="{4BB42CCA-C92F-4CF6-AB59-478ED8754F1A}"/>
    <cellStyle name="Hyperlink" xfId="8" builtinId="8"/>
    <cellStyle name="Normal" xfId="0" builtinId="0"/>
    <cellStyle name="Normal 2" xfId="2" xr:uid="{7593AA91-F053-4846-BF33-264BFDDC20E3}"/>
    <cellStyle name="Normal 2 2 2" xfId="7" xr:uid="{AF51FD7F-A093-4140-91EE-A904EEBF6C69}"/>
    <cellStyle name="Normal 3" xfId="6" xr:uid="{BE1EB8E4-2F23-4728-BDA1-F71F470148D9}"/>
    <cellStyle name="Percent" xfId="1" builtinId="5"/>
    <cellStyle name="Percent 2" xfId="5" xr:uid="{6F5A6560-F509-47C1-B5D8-7C765169977F}"/>
  </cellStyles>
  <dxfs count="0"/>
  <tableStyles count="0" defaultTableStyle="TableStyleMedium2" defaultPivotStyle="PivotStyleLight16"/>
  <colors>
    <mruColors>
      <color rgb="FFFF66FF"/>
      <color rgb="FFEB33CC"/>
      <color rgb="FFCC66FF"/>
      <color rgb="FFE806CB"/>
      <color rgb="FF0036A2"/>
      <color rgb="FF005EA4"/>
      <color rgb="FFCC00CC"/>
      <color rgb="FF00B050"/>
      <color rgb="FFFF00FF"/>
      <color rgb="FFD79A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'Outputs '!$B$41:$K$41</c:f>
              <c:strCache>
                <c:ptCount val="10"/>
                <c:pt idx="0">
                  <c:v>EBITDA</c:v>
                </c:pt>
              </c:strCache>
            </c:strRef>
          </c:tx>
          <c:spPr>
            <a:solidFill>
              <a:srgbClr val="EB33CC"/>
            </a:solidFill>
            <a:ln>
              <a:noFill/>
            </a:ln>
            <a:effectLst/>
          </c:spPr>
          <c:invertIfNegative val="0"/>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'!$L$41:$R$41</c:f>
              <c:numCache>
                <c:formatCode>_(#,##0_);\(#,##0\);_("–"_);_(@_)</c:formatCode>
                <c:ptCount val="7"/>
                <c:pt idx="0">
                  <c:v>223.7736662420532</c:v>
                </c:pt>
                <c:pt idx="1">
                  <c:v>249.20657956483035</c:v>
                </c:pt>
                <c:pt idx="2">
                  <c:v>272.35789003494574</c:v>
                </c:pt>
                <c:pt idx="3">
                  <c:v>299.37997603380779</c:v>
                </c:pt>
                <c:pt idx="4">
                  <c:v>328.52297118931517</c:v>
                </c:pt>
                <c:pt idx="5">
                  <c:v>359.83743330859181</c:v>
                </c:pt>
                <c:pt idx="6">
                  <c:v>393.35905038784438</c:v>
                </c:pt>
              </c:numCache>
            </c:numRef>
          </c:val>
          <c:extLst>
            <c:ext xmlns:c16="http://schemas.microsoft.com/office/drawing/2014/chart" uri="{C3380CC4-5D6E-409C-BE32-E72D297353CC}">
              <c16:uniqueId val="{00000001-BBCD-472C-9344-0FFD131573BF}"/>
            </c:ext>
          </c:extLst>
        </c:ser>
        <c:ser>
          <c:idx val="7"/>
          <c:order val="7"/>
          <c:tx>
            <c:strRef>
              <c:f>'Outputs '!$B$48:$K$48</c:f>
              <c:strCache>
                <c:ptCount val="10"/>
                <c:pt idx="0">
                  <c:v>Total Debt</c:v>
                </c:pt>
              </c:strCache>
            </c:strRef>
          </c:tx>
          <c:spPr>
            <a:solidFill>
              <a:srgbClr val="7030A0"/>
            </a:solidFill>
            <a:ln>
              <a:noFill/>
            </a:ln>
            <a:effectLst/>
          </c:spPr>
          <c:invertIfNegative val="0"/>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'!$L$48:$R$48</c:f>
              <c:numCache>
                <c:formatCode>_(#,##0_);\(#,##0\);_("–"_);_(@_)</c:formatCode>
                <c:ptCount val="7"/>
                <c:pt idx="0">
                  <c:v>518.69766734273378</c:v>
                </c:pt>
                <c:pt idx="1">
                  <c:v>1683.1195725330872</c:v>
                </c:pt>
                <c:pt idx="2">
                  <c:v>1595.339896579067</c:v>
                </c:pt>
                <c:pt idx="3">
                  <c:v>1495.8134913673666</c:v>
                </c:pt>
                <c:pt idx="4">
                  <c:v>1380.285214208413</c:v>
                </c:pt>
                <c:pt idx="5">
                  <c:v>1243.7448190689474</c:v>
                </c:pt>
                <c:pt idx="6">
                  <c:v>1086.4762313542283</c:v>
                </c:pt>
              </c:numCache>
            </c:numRef>
          </c:val>
          <c:extLst>
            <c:ext xmlns:c16="http://schemas.microsoft.com/office/drawing/2014/chart" uri="{C3380CC4-5D6E-409C-BE32-E72D297353CC}">
              <c16:uniqueId val="{00000007-BBCD-472C-9344-0FFD131573BF}"/>
            </c:ext>
          </c:extLst>
        </c:ser>
        <c:dLbls>
          <c:showLegendKey val="0"/>
          <c:showVal val="0"/>
          <c:showCatName val="0"/>
          <c:showSerName val="0"/>
          <c:showPercent val="0"/>
          <c:showBubbleSize val="0"/>
        </c:dLbls>
        <c:gapWidth val="219"/>
        <c:overlap val="-27"/>
        <c:axId val="43143312"/>
        <c:axId val="43146672"/>
        <c:extLst>
          <c:ext xmlns:c15="http://schemas.microsoft.com/office/drawing/2012/chart" uri="{02D57815-91ED-43cb-92C2-25804820EDAC}">
            <c15:filteredBarSeries>
              <c15:ser>
                <c:idx val="0"/>
                <c:order val="0"/>
                <c:tx>
                  <c:strRef>
                    <c:extLst>
                      <c:ext uri="{02D57815-91ED-43cb-92C2-25804820EDAC}">
                        <c15:formulaRef>
                          <c15:sqref>'Outputs '!$B$40:$K$40</c15:sqref>
                        </c15:formulaRef>
                      </c:ext>
                    </c:extLst>
                    <c:strCache>
                      <c:ptCount val="10"/>
                      <c:pt idx="0">
                        <c:v>Financial Projections</c:v>
                      </c:pt>
                    </c:strCache>
                  </c:strRef>
                </c:tx>
                <c:spPr>
                  <a:solidFill>
                    <a:schemeClr val="accent1"/>
                  </a:solidFill>
                  <a:ln>
                    <a:noFill/>
                  </a:ln>
                  <a:effectLst/>
                </c:spPr>
                <c:invertIfNegative val="0"/>
                <c:cat>
                  <c:numRef>
                    <c:extLst>
                      <c:ex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c:ext uri="{02D57815-91ED-43cb-92C2-25804820EDAC}">
                        <c15:formulaRef>
                          <c15:sqref>'Outputs '!$L$40:$R$40</c15:sqref>
                        </c15:formulaRef>
                      </c:ext>
                    </c:extLst>
                    <c:numCache>
                      <c:formatCode>General</c:formatCode>
                      <c:ptCount val="7"/>
                    </c:numCache>
                  </c:numRef>
                </c:val>
                <c:extLst>
                  <c:ext xmlns:c16="http://schemas.microsoft.com/office/drawing/2014/chart" uri="{C3380CC4-5D6E-409C-BE32-E72D297353CC}">
                    <c16:uniqueId val="{00000000-BBCD-472C-9344-0FFD131573B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'Outputs '!$B$42:$K$42</c15:sqref>
                        </c15:formulaRef>
                      </c:ext>
                    </c:extLst>
                    <c:strCache>
                      <c:ptCount val="10"/>
                      <c:pt idx="0">
                        <c:v>Tax Expense</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'!$L$42:$R$42</c15:sqref>
                        </c15:formulaRef>
                      </c:ext>
                    </c:extLst>
                    <c:numCache>
                      <c:formatCode>_(#,##0_);\(#,##0\);_("–"_);_(@_)</c:formatCode>
                      <c:ptCount val="7"/>
                      <c:pt idx="0">
                        <c:v>30.827236865811759</c:v>
                      </c:pt>
                      <c:pt idx="1">
                        <c:v>24.308449455363078</c:v>
                      </c:pt>
                      <c:pt idx="2">
                        <c:v>24.395239796041174</c:v>
                      </c:pt>
                      <c:pt idx="3">
                        <c:v>30.266156080881103</c:v>
                      </c:pt>
                      <c:pt idx="4">
                        <c:v>37.029510567658214</c:v>
                      </c:pt>
                      <c:pt idx="5">
                        <c:v>45.543150576284212</c:v>
                      </c:pt>
                      <c:pt idx="6">
                        <c:v>54.193956556259629</c:v>
                      </c:pt>
                    </c:numCache>
                  </c:numRef>
                </c:val>
                <c:extLst xmlns:c15="http://schemas.microsoft.com/office/drawing/2012/chart">
                  <c:ext xmlns:c16="http://schemas.microsoft.com/office/drawing/2014/chart" uri="{C3380CC4-5D6E-409C-BE32-E72D297353CC}">
                    <c16:uniqueId val="{00000002-BBCD-472C-9344-0FFD131573B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'Outputs '!$B$43:$K$43</c15:sqref>
                        </c15:formulaRef>
                      </c:ext>
                    </c:extLst>
                    <c:strCache>
                      <c:ptCount val="10"/>
                      <c:pt idx="0">
                        <c:v>CapEx</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'!$L$43:$R$43</c15:sqref>
                        </c15:formulaRef>
                      </c:ext>
                    </c:extLst>
                    <c:numCache>
                      <c:formatCode>_(#,##0_);\(#,##0\);_("–"_);_(@_)</c:formatCode>
                      <c:ptCount val="7"/>
                      <c:pt idx="0">
                        <c:v>47.050000000000075</c:v>
                      </c:pt>
                      <c:pt idx="1">
                        <c:v>52.459996789828644</c:v>
                      </c:pt>
                      <c:pt idx="2">
                        <c:v>59.040888021288154</c:v>
                      </c:pt>
                      <c:pt idx="3">
                        <c:v>66.666128915173871</c:v>
                      </c:pt>
                      <c:pt idx="4">
                        <c:v>74.958742458651514</c:v>
                      </c:pt>
                      <c:pt idx="5">
                        <c:v>83.942337769624473</c:v>
                      </c:pt>
                      <c:pt idx="6">
                        <c:v>93.636182117085667</c:v>
                      </c:pt>
                    </c:numCache>
                  </c:numRef>
                </c:val>
                <c:extLst xmlns:c15="http://schemas.microsoft.com/office/drawing/2012/chart">
                  <c:ext xmlns:c16="http://schemas.microsoft.com/office/drawing/2014/chart" uri="{C3380CC4-5D6E-409C-BE32-E72D297353CC}">
                    <c16:uniqueId val="{00000003-BBCD-472C-9344-0FFD131573BF}"/>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'Outputs '!$B$44:$K$44</c15:sqref>
                        </c15:formulaRef>
                      </c:ext>
                    </c:extLst>
                    <c:strCache>
                      <c:ptCount val="10"/>
                      <c:pt idx="0">
                        <c:v>CapEx, % of Revenue</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'!$L$44:$R$44</c15:sqref>
                        </c15:formulaRef>
                      </c:ext>
                    </c:extLst>
                    <c:numCache>
                      <c:formatCode>0.0%</c:formatCode>
                      <c:ptCount val="7"/>
                      <c:pt idx="0">
                        <c:v>3.1568711047448003E-2</c:v>
                      </c:pt>
                      <c:pt idx="1">
                        <c:v>3.3775917714114673E-2</c:v>
                      </c:pt>
                      <c:pt idx="2">
                        <c:v>3.5983124380781342E-2</c:v>
                      </c:pt>
                      <c:pt idx="3">
                        <c:v>3.8190331047448012E-2</c:v>
                      </c:pt>
                      <c:pt idx="4">
                        <c:v>4.0397537714114681E-2</c:v>
                      </c:pt>
                      <c:pt idx="5">
                        <c:v>4.2604744380781351E-2</c:v>
                      </c:pt>
                      <c:pt idx="6">
                        <c:v>4.4811951047448007E-2</c:v>
                      </c:pt>
                    </c:numCache>
                  </c:numRef>
                </c:val>
                <c:extLst xmlns:c15="http://schemas.microsoft.com/office/drawing/2012/chart">
                  <c:ext xmlns:c16="http://schemas.microsoft.com/office/drawing/2014/chart" uri="{C3380CC4-5D6E-409C-BE32-E72D297353CC}">
                    <c16:uniqueId val="{00000004-BBCD-472C-9344-0FFD131573B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'Outputs '!$B$45:$K$45</c15:sqref>
                        </c15:formulaRef>
                      </c:ext>
                    </c:extLst>
                    <c:strCache>
                      <c:ptCount val="10"/>
                      <c:pt idx="0">
                        <c:v>Total Interest Expense</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'!$L$45:$R$45</c15:sqref>
                        </c15:formulaRef>
                      </c:ext>
                    </c:extLst>
                    <c:numCache>
                      <c:formatCode>_(#,##0_);\(#,##0\);_("–"_);_(@_)</c:formatCode>
                      <c:ptCount val="7"/>
                      <c:pt idx="0">
                        <c:v>27.692184949288517</c:v>
                      </c:pt>
                      <c:pt idx="1">
                        <c:v>72.847382228457661</c:v>
                      </c:pt>
                      <c:pt idx="2">
                        <c:v>91.733237789579547</c:v>
                      </c:pt>
                      <c:pt idx="3">
                        <c:v>91.064285868854157</c:v>
                      </c:pt>
                      <c:pt idx="4">
                        <c:v>88.730755905452341</c:v>
                      </c:pt>
                      <c:pt idx="5">
                        <c:v>81.153106145899002</c:v>
                      </c:pt>
                      <c:pt idx="6">
                        <c:v>75.237676759856569</c:v>
                      </c:pt>
                    </c:numCache>
                  </c:numRef>
                </c:val>
                <c:extLst xmlns:c15="http://schemas.microsoft.com/office/drawing/2012/chart">
                  <c:ext xmlns:c16="http://schemas.microsoft.com/office/drawing/2014/chart" uri="{C3380CC4-5D6E-409C-BE32-E72D297353CC}">
                    <c16:uniqueId val="{00000005-BBCD-472C-9344-0FFD131573BF}"/>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'Outputs '!$B$47:$K$47</c15:sqref>
                        </c15:formulaRef>
                      </c:ext>
                    </c:extLst>
                    <c:strCache>
                      <c:ptCount val="10"/>
                      <c:pt idx="0">
                        <c:v>Total Principal Repayments</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'!$L$47:$R$47</c15:sqref>
                        </c15:formulaRef>
                      </c:ext>
                    </c:extLst>
                    <c:numCache>
                      <c:formatCode>_(#,##0_);\(#,##0\);_("–"_);_(@_)</c:formatCode>
                      <c:ptCount val="7"/>
                      <c:pt idx="0">
                        <c:v>136.00233265726615</c:v>
                      </c:pt>
                      <c:pt idx="1">
                        <c:v>518.69766734273378</c:v>
                      </c:pt>
                      <c:pt idx="2">
                        <c:v>87.779675954020234</c:v>
                      </c:pt>
                      <c:pt idx="3">
                        <c:v>99.526405211700137</c:v>
                      </c:pt>
                      <c:pt idx="4">
                        <c:v>115.52827715895413</c:v>
                      </c:pt>
                      <c:pt idx="5">
                        <c:v>136.54039513946532</c:v>
                      </c:pt>
                      <c:pt idx="6">
                        <c:v>157.2685877147191</c:v>
                      </c:pt>
                    </c:numCache>
                  </c:numRef>
                </c:val>
                <c:extLst xmlns:c15="http://schemas.microsoft.com/office/drawing/2012/chart">
                  <c:ext xmlns:c16="http://schemas.microsoft.com/office/drawing/2014/chart" uri="{C3380CC4-5D6E-409C-BE32-E72D297353CC}">
                    <c16:uniqueId val="{00000006-BBCD-472C-9344-0FFD131573BF}"/>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'Outputs '!$B$49:$K$49</c15:sqref>
                        </c15:formulaRef>
                      </c:ext>
                    </c:extLst>
                    <c:strCache>
                      <c:ptCount val="10"/>
                      <c:pt idx="0">
                        <c:v>Cash</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'!$L$49:$R$49</c15:sqref>
                        </c15:formulaRef>
                      </c:ext>
                    </c:extLst>
                    <c:numCache>
                      <c:formatCode>_(#,##0_);\(#,##0\);_("–"_);_(@_)</c:formatCode>
                      <c:ptCount val="7"/>
                      <c:pt idx="0">
                        <c:v>32.219122063217029</c:v>
                      </c:pt>
                      <c:pt idx="1">
                        <c:v>32.833877599257235</c:v>
                      </c:pt>
                      <c:pt idx="2">
                        <c:v>33.901832040124006</c:v>
                      </c:pt>
                      <c:pt idx="3">
                        <c:v>35.233565576390717</c:v>
                      </c:pt>
                      <c:pt idx="4">
                        <c:v>36.564883803777107</c:v>
                      </c:pt>
                      <c:pt idx="5">
                        <c:v>37.884045519729952</c:v>
                      </c:pt>
                      <c:pt idx="6">
                        <c:v>39.178798817226252</c:v>
                      </c:pt>
                    </c:numCache>
                  </c:numRef>
                </c:val>
                <c:extLst xmlns:c15="http://schemas.microsoft.com/office/drawing/2012/chart">
                  <c:ext xmlns:c16="http://schemas.microsoft.com/office/drawing/2014/chart" uri="{C3380CC4-5D6E-409C-BE32-E72D297353CC}">
                    <c16:uniqueId val="{00000008-BBCD-472C-9344-0FFD131573BF}"/>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'Outputs '!$B$52:$K$52</c15:sqref>
                        </c15:formulaRef>
                      </c:ext>
                    </c:extLst>
                    <c:strCache>
                      <c:ptCount val="10"/>
                      <c:pt idx="0">
                        <c:v>EBITDA Margin</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'!$L$52:$R$52</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9-BBCD-472C-9344-0FFD131573BF}"/>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'Outputs '!$B$53:$K$53</c15:sqref>
                        </c15:formulaRef>
                      </c:ext>
                    </c:extLst>
                    <c:strCache>
                      <c:ptCount val="10"/>
                      <c:pt idx="0">
                        <c:v>Total Debt/EBITDA</c:v>
                      </c:pt>
                    </c:strCache>
                  </c:strRef>
                </c:tx>
                <c:spPr>
                  <a:solidFill>
                    <a:schemeClr val="accent5">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'!$L$53:$R$53</c15:sqref>
                        </c15:formulaRef>
                      </c:ext>
                    </c:extLst>
                    <c:numCache>
                      <c:formatCode>_(0.0\x_);\(0.0\x\);"-"</c:formatCode>
                      <c:ptCount val="7"/>
                      <c:pt idx="0">
                        <c:v>2.3179566928204367</c:v>
                      </c:pt>
                      <c:pt idx="1">
                        <c:v>6.753913060691195</c:v>
                      </c:pt>
                      <c:pt idx="2">
                        <c:v>5.8575130552464332</c:v>
                      </c:pt>
                      <c:pt idx="3">
                        <c:v>4.9963712041931965</c:v>
                      </c:pt>
                      <c:pt idx="4">
                        <c:v>4.2014876743976837</c:v>
                      </c:pt>
                      <c:pt idx="5">
                        <c:v>3.4564075439097754</c:v>
                      </c:pt>
                      <c:pt idx="6">
                        <c:v>2.7620471177235757</c:v>
                      </c:pt>
                    </c:numCache>
                  </c:numRef>
                </c:val>
                <c:extLst xmlns:c15="http://schemas.microsoft.com/office/drawing/2012/chart">
                  <c:ext xmlns:c16="http://schemas.microsoft.com/office/drawing/2014/chart" uri="{C3380CC4-5D6E-409C-BE32-E72D297353CC}">
                    <c16:uniqueId val="{0000000A-BBCD-472C-9344-0FFD131573BF}"/>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'Outputs '!$B$54:$K$54</c15:sqref>
                        </c15:formulaRef>
                      </c:ext>
                    </c:extLst>
                    <c:strCache>
                      <c:ptCount val="10"/>
                      <c:pt idx="0">
                        <c:v>Debt Service Coverage Ratio</c:v>
                      </c:pt>
                    </c:strCache>
                  </c:strRef>
                </c:tx>
                <c:spPr>
                  <a:solidFill>
                    <a:schemeClr val="accent6">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'!$L$54:$R$54</c15:sqref>
                        </c15:formulaRef>
                      </c:ext>
                    </c:extLst>
                    <c:numCache>
                      <c:formatCode>_(0.0\x_);\(0.0\x\);"-"</c:formatCode>
                      <c:ptCount val="7"/>
                      <c:pt idx="0">
                        <c:v>0.89127254540624512</c:v>
                      </c:pt>
                      <c:pt idx="1">
                        <c:v>0.29150465115824797</c:v>
                      </c:pt>
                      <c:pt idx="2">
                        <c:v>1.052413212385686</c:v>
                      </c:pt>
                      <c:pt idx="3">
                        <c:v>1.0622118524780788</c:v>
                      </c:pt>
                      <c:pt idx="4">
                        <c:v>1.0600986155394567</c:v>
                      </c:pt>
                      <c:pt idx="5">
                        <c:v>1.058148009024511</c:v>
                      </c:pt>
                      <c:pt idx="6">
                        <c:v>1.05600987684935</c:v>
                      </c:pt>
                    </c:numCache>
                  </c:numRef>
                </c:val>
                <c:extLst xmlns:c15="http://schemas.microsoft.com/office/drawing/2012/chart">
                  <c:ext xmlns:c16="http://schemas.microsoft.com/office/drawing/2014/chart" uri="{C3380CC4-5D6E-409C-BE32-E72D297353CC}">
                    <c16:uniqueId val="{0000000B-BBCD-472C-9344-0FFD131573BF}"/>
                  </c:ext>
                </c:extLst>
              </c15:ser>
            </c15:filteredBarSeries>
          </c:ext>
        </c:extLst>
      </c:barChart>
      <c:catAx>
        <c:axId val="43143312"/>
        <c:scaling>
          <c:orientation val="minMax"/>
        </c:scaling>
        <c:delete val="0"/>
        <c:axPos val="b"/>
        <c:numFmt formatCode="General&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146672"/>
        <c:crosses val="autoZero"/>
        <c:auto val="1"/>
        <c:lblAlgn val="ctr"/>
        <c:lblOffset val="100"/>
        <c:noMultiLvlLbl val="0"/>
      </c:catAx>
      <c:valAx>
        <c:axId val="4314667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143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GB">
                <a:solidFill>
                  <a:sysClr val="windowText" lastClr="000000"/>
                </a:solidFill>
              </a:rPr>
              <a:t>Capital</a:t>
            </a:r>
            <a:r>
              <a:rPr lang="en-GB" baseline="0">
                <a:solidFill>
                  <a:sysClr val="windowText" lastClr="000000"/>
                </a:solidFill>
              </a:rPr>
              <a:t> Good Companies PE Ratios</a:t>
            </a:r>
            <a:endParaRPr lang="en-GB">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GB"/>
        </a:p>
      </c:txPr>
    </c:title>
    <c:autoTitleDeleted val="0"/>
    <c:plotArea>
      <c:layout>
        <c:manualLayout>
          <c:layoutTarget val="inner"/>
          <c:xMode val="edge"/>
          <c:yMode val="edge"/>
          <c:x val="7.2025371828521437E-2"/>
          <c:y val="5.0925925925925923E-2"/>
          <c:w val="0.86706036745406823"/>
          <c:h val="0.73614173228346458"/>
        </c:manualLayout>
      </c:layout>
      <c:barChart>
        <c:barDir val="col"/>
        <c:grouping val="stacked"/>
        <c:varyColors val="0"/>
        <c:ser>
          <c:idx val="0"/>
          <c:order val="0"/>
          <c:tx>
            <c:v>10yr PER Low</c:v>
          </c:tx>
          <c:spPr>
            <a:solidFill>
              <a:schemeClr val="tx1">
                <a:alpha val="0"/>
              </a:schemeClr>
            </a:solidFill>
            <a:ln>
              <a:noFill/>
            </a:ln>
            <a:effectLst/>
          </c:spPr>
          <c:invertIfNegative val="0"/>
          <c:cat>
            <c:strLit>
              <c:ptCount val="3"/>
              <c:pt idx="0">
                <c:v>UK</c:v>
              </c:pt>
              <c:pt idx="1">
                <c:v>EU</c:v>
              </c:pt>
              <c:pt idx="2">
                <c:v>US </c:v>
              </c:pt>
            </c:strLit>
          </c:cat>
          <c:val>
            <c:numLit>
              <c:formatCode>General</c:formatCode>
              <c:ptCount val="3"/>
              <c:pt idx="0">
                <c:v>12</c:v>
              </c:pt>
              <c:pt idx="1">
                <c:v>10.5</c:v>
              </c:pt>
              <c:pt idx="2">
                <c:v>12</c:v>
              </c:pt>
            </c:numLit>
          </c:val>
          <c:extLst>
            <c:ext xmlns:c16="http://schemas.microsoft.com/office/drawing/2014/chart" uri="{C3380CC4-5D6E-409C-BE32-E72D297353CC}">
              <c16:uniqueId val="{00000000-5028-489E-981B-5F170CEA98AF}"/>
            </c:ext>
          </c:extLst>
        </c:ser>
        <c:ser>
          <c:idx val="1"/>
          <c:order val="1"/>
          <c:tx>
            <c:v>Range</c:v>
          </c:tx>
          <c:spPr>
            <a:solidFill>
              <a:srgbClr val="492395"/>
            </a:solidFill>
            <a:ln>
              <a:noFill/>
            </a:ln>
            <a:effectLst/>
          </c:spPr>
          <c:invertIfNegative val="0"/>
          <c:cat>
            <c:strLit>
              <c:ptCount val="3"/>
              <c:pt idx="0">
                <c:v>UK</c:v>
              </c:pt>
              <c:pt idx="1">
                <c:v>EU</c:v>
              </c:pt>
              <c:pt idx="2">
                <c:v>US </c:v>
              </c:pt>
            </c:strLit>
          </c:cat>
          <c:val>
            <c:numLit>
              <c:formatCode>General</c:formatCode>
              <c:ptCount val="3"/>
              <c:pt idx="0">
                <c:v>10</c:v>
              </c:pt>
              <c:pt idx="1">
                <c:v>13.5</c:v>
              </c:pt>
              <c:pt idx="2">
                <c:v>13.5</c:v>
              </c:pt>
            </c:numLit>
          </c:val>
          <c:extLst>
            <c:ext xmlns:c16="http://schemas.microsoft.com/office/drawing/2014/chart" uri="{C3380CC4-5D6E-409C-BE32-E72D297353CC}">
              <c16:uniqueId val="{00000001-5028-489E-981B-5F170CEA98AF}"/>
            </c:ext>
          </c:extLst>
        </c:ser>
        <c:dLbls>
          <c:showLegendKey val="0"/>
          <c:showVal val="0"/>
          <c:showCatName val="0"/>
          <c:showSerName val="0"/>
          <c:showPercent val="0"/>
          <c:showBubbleSize val="0"/>
        </c:dLbls>
        <c:gapWidth val="150"/>
        <c:overlap val="100"/>
        <c:axId val="988653640"/>
        <c:axId val="1482243056"/>
      </c:barChart>
      <c:scatterChart>
        <c:scatterStyle val="lineMarker"/>
        <c:varyColors val="0"/>
        <c:ser>
          <c:idx val="2"/>
          <c:order val="2"/>
          <c:tx>
            <c:v>10yr PER Average</c:v>
          </c:tx>
          <c:spPr>
            <a:ln w="25400" cap="rnd">
              <a:noFill/>
              <a:round/>
            </a:ln>
            <a:effectLst/>
          </c:spPr>
          <c:marker>
            <c:symbol val="diamond"/>
            <c:size val="5"/>
            <c:spPr>
              <a:solidFill>
                <a:srgbClr val="CC00FF"/>
              </a:solidFill>
              <a:ln w="15875" cap="sq">
                <a:solidFill>
                  <a:srgbClr val="CC00FF"/>
                </a:solidFill>
                <a:bevel/>
              </a:ln>
              <a:effectLst/>
            </c:spPr>
          </c:marker>
          <c:yVal>
            <c:numLit>
              <c:formatCode>General</c:formatCode>
              <c:ptCount val="3"/>
              <c:pt idx="0">
                <c:v>16</c:v>
              </c:pt>
              <c:pt idx="1">
                <c:v>17.5</c:v>
              </c:pt>
              <c:pt idx="2">
                <c:v>18.5</c:v>
              </c:pt>
            </c:numLit>
          </c:yVal>
          <c:smooth val="0"/>
          <c:extLst>
            <c:ext xmlns:c16="http://schemas.microsoft.com/office/drawing/2014/chart" uri="{C3380CC4-5D6E-409C-BE32-E72D297353CC}">
              <c16:uniqueId val="{00000002-5028-489E-981B-5F170CEA98AF}"/>
            </c:ext>
          </c:extLst>
        </c:ser>
        <c:ser>
          <c:idx val="3"/>
          <c:order val="3"/>
          <c:tx>
            <c:v>Current PER</c:v>
          </c:tx>
          <c:spPr>
            <a:ln w="25400" cap="rnd">
              <a:solidFill>
                <a:srgbClr val="CC00FF">
                  <a:alpha val="0"/>
                </a:srgbClr>
              </a:solidFill>
              <a:round/>
            </a:ln>
            <a:effectLst/>
          </c:spPr>
          <c:marker>
            <c:symbol val="dash"/>
            <c:size val="5"/>
            <c:spPr>
              <a:solidFill>
                <a:srgbClr val="FF00FF"/>
              </a:solidFill>
              <a:ln w="9525">
                <a:solidFill>
                  <a:srgbClr val="FF00FF"/>
                </a:solidFill>
              </a:ln>
              <a:effectLst/>
            </c:spPr>
          </c:marker>
          <c:yVal>
            <c:numLit>
              <c:formatCode>General</c:formatCode>
              <c:ptCount val="3"/>
              <c:pt idx="0">
                <c:v>16.5</c:v>
              </c:pt>
              <c:pt idx="1">
                <c:v>21.5</c:v>
              </c:pt>
              <c:pt idx="2">
                <c:v>25</c:v>
              </c:pt>
            </c:numLit>
          </c:yVal>
          <c:smooth val="0"/>
          <c:extLst>
            <c:ext xmlns:c16="http://schemas.microsoft.com/office/drawing/2014/chart" uri="{C3380CC4-5D6E-409C-BE32-E72D297353CC}">
              <c16:uniqueId val="{00000003-5028-489E-981B-5F170CEA98AF}"/>
            </c:ext>
          </c:extLst>
        </c:ser>
        <c:dLbls>
          <c:showLegendKey val="0"/>
          <c:showVal val="0"/>
          <c:showCatName val="0"/>
          <c:showSerName val="0"/>
          <c:showPercent val="0"/>
          <c:showBubbleSize val="0"/>
        </c:dLbls>
        <c:axId val="1674199048"/>
        <c:axId val="1671605472"/>
      </c:scatterChart>
      <c:catAx>
        <c:axId val="988653640"/>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82243056"/>
        <c:crosses val="autoZero"/>
        <c:auto val="1"/>
        <c:lblAlgn val="ctr"/>
        <c:lblOffset val="100"/>
        <c:noMultiLvlLbl val="0"/>
      </c:catAx>
      <c:valAx>
        <c:axId val="1482243056"/>
        <c:scaling>
          <c:orientation val="minMax"/>
          <c:min val="10"/>
        </c:scaling>
        <c:delete val="0"/>
        <c:axPos val="l"/>
        <c:numFmt formatCode="_(0.0\x_);\(0.0\x\);&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88653640"/>
        <c:crosses val="autoZero"/>
        <c:crossBetween val="between"/>
      </c:valAx>
      <c:valAx>
        <c:axId val="1671605472"/>
        <c:scaling>
          <c:orientation val="minMax"/>
          <c:min val="10"/>
        </c:scaling>
        <c:delete val="0"/>
        <c:axPos val="r"/>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solidFill>
            <a:schemeClr val="bg1"/>
          </a:solid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674199048"/>
        <c:crosses val="max"/>
        <c:crossBetween val="midCat"/>
      </c:valAx>
      <c:valAx>
        <c:axId val="1674199048"/>
        <c:scaling>
          <c:orientation val="minMax"/>
        </c:scaling>
        <c:delete val="1"/>
        <c:axPos val="b"/>
        <c:majorTickMark val="out"/>
        <c:minorTickMark val="none"/>
        <c:tickLblPos val="nextTo"/>
        <c:crossAx val="1671605472"/>
        <c:crosses val="autoZero"/>
        <c:crossBetween val="midCat"/>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solidFill>
              <a:srgbClr val="002060"/>
            </a:solidFill>
            <a:ln>
              <a:noFill/>
            </a:ln>
            <a:effectLst/>
            <a:sp3d/>
          </c:spPr>
          <c:invertIfNegative val="0"/>
          <c:dPt>
            <c:idx val="0"/>
            <c:invertIfNegative val="0"/>
            <c:bubble3D val="0"/>
            <c:spPr>
              <a:solidFill>
                <a:srgbClr val="CC66FF"/>
              </a:solidFill>
              <a:ln>
                <a:noFill/>
              </a:ln>
              <a:effectLst/>
              <a:sp3d/>
            </c:spPr>
            <c:extLst>
              <c:ext xmlns:c16="http://schemas.microsoft.com/office/drawing/2014/chart" uri="{C3380CC4-5D6E-409C-BE32-E72D297353CC}">
                <c16:uniqueId val="{00000004-784B-4750-8D10-793BD3BCEB41}"/>
              </c:ext>
            </c:extLst>
          </c:dPt>
          <c:dPt>
            <c:idx val="1"/>
            <c:invertIfNegative val="0"/>
            <c:bubble3D val="0"/>
            <c:spPr>
              <a:solidFill>
                <a:srgbClr val="FF66FF"/>
              </a:solidFill>
              <a:ln>
                <a:noFill/>
              </a:ln>
              <a:effectLst/>
              <a:sp3d/>
            </c:spPr>
            <c:extLst>
              <c:ext xmlns:c16="http://schemas.microsoft.com/office/drawing/2014/chart" uri="{C3380CC4-5D6E-409C-BE32-E72D297353CC}">
                <c16:uniqueId val="{00000003-784B-4750-8D10-793BD3BCEB41}"/>
              </c:ext>
            </c:extLst>
          </c:dPt>
          <c:dPt>
            <c:idx val="2"/>
            <c:invertIfNegative val="0"/>
            <c:bubble3D val="0"/>
            <c:spPr>
              <a:solidFill>
                <a:srgbClr val="7030A0"/>
              </a:solidFill>
              <a:ln>
                <a:noFill/>
              </a:ln>
              <a:effectLst/>
              <a:sp3d/>
            </c:spPr>
            <c:extLst>
              <c:ext xmlns:c16="http://schemas.microsoft.com/office/drawing/2014/chart" uri="{C3380CC4-5D6E-409C-BE32-E72D297353CC}">
                <c16:uniqueId val="{00000002-784B-4750-8D10-793BD3BCEB41}"/>
              </c:ext>
            </c:extLst>
          </c:dPt>
          <c:dPt>
            <c:idx val="3"/>
            <c:invertIfNegative val="0"/>
            <c:bubble3D val="0"/>
            <c:spPr>
              <a:solidFill>
                <a:srgbClr val="E806CB"/>
              </a:solidFill>
              <a:ln>
                <a:noFill/>
              </a:ln>
              <a:effectLst/>
              <a:sp3d/>
            </c:spPr>
            <c:extLst>
              <c:ext xmlns:c16="http://schemas.microsoft.com/office/drawing/2014/chart" uri="{C3380CC4-5D6E-409C-BE32-E72D297353CC}">
                <c16:uniqueId val="{00000001-784B-4750-8D10-793BD3BCEB41}"/>
              </c:ext>
            </c:extLst>
          </c:dPt>
          <c:dPt>
            <c:idx val="4"/>
            <c:invertIfNegative val="0"/>
            <c:bubble3D val="0"/>
            <c:spPr>
              <a:solidFill>
                <a:srgbClr val="0036A2"/>
              </a:solidFill>
              <a:ln>
                <a:noFill/>
              </a:ln>
              <a:effectLst/>
              <a:sp3d/>
            </c:spPr>
            <c:extLst>
              <c:ext xmlns:c16="http://schemas.microsoft.com/office/drawing/2014/chart" uri="{C3380CC4-5D6E-409C-BE32-E72D297353CC}">
                <c16:uniqueId val="{00000005-784B-4750-8D10-793BD3BCEB4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'Outputs '!$B$259:$B$263</c:f>
              <c:strCache>
                <c:ptCount val="4"/>
                <c:pt idx="0">
                  <c:v>KKR x Spectris Entry Multiple</c:v>
                </c:pt>
                <c:pt idx="1">
                  <c:v>Teledyne (test &amp; measurement peer)</c:v>
                </c:pt>
                <c:pt idx="2">
                  <c:v>Danaher (tools &amp; diagnostics peer)</c:v>
                </c:pt>
                <c:pt idx="3">
                  <c:v>Sector Median (industrial tech)</c:v>
                </c:pt>
              </c:strCache>
            </c:strRef>
          </c:cat>
          <c:val>
            <c:numRef>
              <c:f>'Outputs '!$G$259:$G$263</c:f>
              <c:numCache>
                <c:formatCode>0.0\x</c:formatCode>
                <c:ptCount val="5"/>
                <c:pt idx="0">
                  <c:v>20</c:v>
                </c:pt>
                <c:pt idx="1">
                  <c:v>18.7</c:v>
                </c:pt>
                <c:pt idx="2">
                  <c:v>16.2</c:v>
                </c:pt>
                <c:pt idx="3">
                  <c:v>14.2</c:v>
                </c:pt>
              </c:numCache>
            </c:numRef>
          </c:val>
          <c:extLst>
            <c:ext xmlns:c16="http://schemas.microsoft.com/office/drawing/2014/chart" uri="{C3380CC4-5D6E-409C-BE32-E72D297353CC}">
              <c16:uniqueId val="{00000000-784B-4750-8D10-793BD3BCEB41}"/>
            </c:ext>
          </c:extLst>
        </c:ser>
        <c:dLbls>
          <c:showLegendKey val="0"/>
          <c:showVal val="1"/>
          <c:showCatName val="0"/>
          <c:showSerName val="0"/>
          <c:showPercent val="0"/>
          <c:showBubbleSize val="0"/>
        </c:dLbls>
        <c:gapWidth val="150"/>
        <c:shape val="box"/>
        <c:axId val="216176223"/>
        <c:axId val="216160863"/>
        <c:axId val="0"/>
      </c:bar3DChart>
      <c:catAx>
        <c:axId val="216176223"/>
        <c:scaling>
          <c:orientation val="minMax"/>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1" u="none" strike="noStrike" kern="1200" baseline="0">
                <a:solidFill>
                  <a:srgbClr val="002060"/>
                </a:solidFill>
                <a:latin typeface="+mn-lt"/>
                <a:ea typeface="+mn-ea"/>
                <a:cs typeface="+mn-cs"/>
              </a:defRPr>
            </a:pPr>
            <a:endParaRPr lang="en-US"/>
          </a:p>
        </c:txPr>
        <c:crossAx val="216160863"/>
        <c:crosses val="autoZero"/>
        <c:auto val="1"/>
        <c:lblAlgn val="ctr"/>
        <c:lblOffset val="100"/>
        <c:noMultiLvlLbl val="0"/>
      </c:catAx>
      <c:valAx>
        <c:axId val="216160863"/>
        <c:scaling>
          <c:orientation val="minMax"/>
        </c:scaling>
        <c:delete val="1"/>
        <c:axPos val="b"/>
        <c:majorGridlines>
          <c:spPr>
            <a:ln w="9525" cap="flat" cmpd="sng" algn="ctr">
              <a:solidFill>
                <a:schemeClr val="tx1">
                  <a:lumMod val="15000"/>
                  <a:lumOff val="85000"/>
                </a:schemeClr>
              </a:solidFill>
              <a:round/>
            </a:ln>
            <a:effectLst/>
          </c:spPr>
        </c:majorGridlines>
        <c:numFmt formatCode="0.0\x" sourceLinked="1"/>
        <c:majorTickMark val="out"/>
        <c:minorTickMark val="none"/>
        <c:tickLblPos val="nextTo"/>
        <c:crossAx val="21617622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4"/>
          <c:order val="4"/>
          <c:spPr>
            <a:solidFill>
              <a:schemeClr val="accent5"/>
            </a:solidFill>
            <a:ln>
              <a:noFill/>
            </a:ln>
            <a:effectLst/>
            <a:sp3d/>
          </c:spPr>
          <c:invertIfNegative val="0"/>
          <c:dPt>
            <c:idx val="0"/>
            <c:invertIfNegative val="0"/>
            <c:bubble3D val="0"/>
            <c:spPr>
              <a:solidFill>
                <a:schemeClr val="accent5">
                  <a:lumMod val="75000"/>
                </a:schemeClr>
              </a:solidFill>
              <a:ln>
                <a:noFill/>
              </a:ln>
              <a:effectLst/>
              <a:sp3d/>
            </c:spPr>
            <c:extLst>
              <c:ext xmlns:c16="http://schemas.microsoft.com/office/drawing/2014/chart" uri="{C3380CC4-5D6E-409C-BE32-E72D297353CC}">
                <c16:uniqueId val="{00000009-C792-E946-A413-0FA7B3C7B990}"/>
              </c:ext>
            </c:extLst>
          </c:dPt>
          <c:dPt>
            <c:idx val="1"/>
            <c:invertIfNegative val="0"/>
            <c:bubble3D val="0"/>
            <c:spPr>
              <a:solidFill>
                <a:srgbClr val="FF66FF"/>
              </a:solidFill>
              <a:ln>
                <a:noFill/>
              </a:ln>
              <a:effectLst/>
              <a:sp3d/>
            </c:spPr>
            <c:extLst>
              <c:ext xmlns:c16="http://schemas.microsoft.com/office/drawing/2014/chart" uri="{C3380CC4-5D6E-409C-BE32-E72D297353CC}">
                <c16:uniqueId val="{00000008-C792-E946-A413-0FA7B3C7B990}"/>
              </c:ext>
            </c:extLst>
          </c:dPt>
          <c:dPt>
            <c:idx val="2"/>
            <c:invertIfNegative val="0"/>
            <c:bubble3D val="0"/>
            <c:spPr>
              <a:solidFill>
                <a:srgbClr val="CC66FF"/>
              </a:solidFill>
              <a:ln>
                <a:noFill/>
              </a:ln>
              <a:effectLst/>
              <a:sp3d/>
            </c:spPr>
            <c:extLst>
              <c:ext xmlns:c16="http://schemas.microsoft.com/office/drawing/2014/chart" uri="{C3380CC4-5D6E-409C-BE32-E72D297353CC}">
                <c16:uniqueId val="{00000007-C792-E946-A413-0FA7B3C7B990}"/>
              </c:ext>
            </c:extLst>
          </c:dPt>
          <c:dPt>
            <c:idx val="3"/>
            <c:invertIfNegative val="0"/>
            <c:bubble3D val="0"/>
            <c:spPr>
              <a:solidFill>
                <a:srgbClr val="E806CB"/>
              </a:solidFill>
              <a:ln>
                <a:noFill/>
              </a:ln>
              <a:effectLst/>
              <a:sp3d/>
            </c:spPr>
            <c:extLst>
              <c:ext xmlns:c16="http://schemas.microsoft.com/office/drawing/2014/chart" uri="{C3380CC4-5D6E-409C-BE32-E72D297353CC}">
                <c16:uniqueId val="{00000006-C792-E946-A413-0FA7B3C7B990}"/>
              </c:ext>
            </c:extLst>
          </c:dPt>
          <c:dPt>
            <c:idx val="4"/>
            <c:invertIfNegative val="0"/>
            <c:bubble3D val="0"/>
            <c:spPr>
              <a:solidFill>
                <a:srgbClr val="7030A0"/>
              </a:solidFill>
              <a:ln>
                <a:noFill/>
              </a:ln>
              <a:effectLst/>
              <a:sp3d/>
            </c:spPr>
            <c:extLst>
              <c:ext xmlns:c16="http://schemas.microsoft.com/office/drawing/2014/chart" uri="{C3380CC4-5D6E-409C-BE32-E72D297353CC}">
                <c16:uniqueId val="{00000005-C792-E946-A413-0FA7B3C7B990}"/>
              </c:ext>
            </c:extLst>
          </c:dPt>
          <c:dLbls>
            <c:dLbl>
              <c:idx val="0"/>
              <c:layout>
                <c:manualLayout>
                  <c:x val="1.1193643420759665E-2"/>
                  <c:y val="-6.8978739883344461E-3"/>
                </c:manualLayout>
              </c:layout>
              <c:spPr>
                <a:noFill/>
                <a:ln>
                  <a:noFill/>
                </a:ln>
                <a:effectLst/>
              </c:spPr>
              <c:txPr>
                <a:bodyPr rot="0" spcFirstLastPara="1" vertOverflow="clip" horzOverflow="clip" vert="horz" wrap="square" lIns="38100" tIns="19050" rIns="38100" bIns="19050" anchor="ctr" anchorCtr="1">
                  <a:noAutofit/>
                </a:bodyPr>
                <a:lstStyle/>
                <a:p>
                  <a:pPr>
                    <a:defRPr sz="1100" b="1" i="0" u="none" strike="noStrike" kern="1200" baseline="0">
                      <a:solidFill>
                        <a:srgbClr val="FF0000"/>
                      </a:solidFill>
                      <a:latin typeface="+mj-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layout>
                    <c:manualLayout>
                      <c:w val="6.4730869830281812E-2"/>
                      <c:h val="6.0668431146453823E-2"/>
                    </c:manualLayout>
                  </c15:layout>
                </c:ext>
                <c:ext xmlns:c16="http://schemas.microsoft.com/office/drawing/2014/chart" uri="{C3380CC4-5D6E-409C-BE32-E72D297353CC}">
                  <c16:uniqueId val="{00000009-C792-E946-A413-0FA7B3C7B990}"/>
                </c:ext>
              </c:extLst>
            </c:dLbl>
            <c:dLbl>
              <c:idx val="1"/>
              <c:layout>
                <c:manualLayout>
                  <c:x val="1.873193179806879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792-E946-A413-0FA7B3C7B990}"/>
                </c:ext>
              </c:extLst>
            </c:dLbl>
            <c:dLbl>
              <c:idx val="2"/>
              <c:layout>
                <c:manualLayout>
                  <c:x val="1.873193179806879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792-E946-A413-0FA7B3C7B990}"/>
                </c:ext>
              </c:extLst>
            </c:dLbl>
            <c:dLbl>
              <c:idx val="3"/>
              <c:layout>
                <c:manualLayout>
                  <c:x val="8.3253030213639081E-3"/>
                  <c:y val="-6.3229781123905265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792-E946-A413-0FA7B3C7B990}"/>
                </c:ext>
              </c:extLst>
            </c:dLbl>
            <c:dLbl>
              <c:idx val="4"/>
              <c:layout>
                <c:manualLayout>
                  <c:x val="1.0406628776704731E-2"/>
                  <c:y val="-1.580744528097631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792-E946-A413-0FA7B3C7B990}"/>
                </c:ext>
              </c:extLst>
            </c:dLbl>
            <c:spPr>
              <a:noFill/>
              <a:ln>
                <a:noFill/>
              </a:ln>
              <a:effectLst/>
            </c:spPr>
            <c:txPr>
              <a:bodyPr rot="0" spcFirstLastPara="1" vertOverflow="clip" horzOverflow="clip" vert="horz" wrap="square" lIns="38100" tIns="19050" rIns="38100" bIns="19050" anchor="ctr" anchorCtr="1">
                <a:spAutoFit/>
              </a:bodyPr>
              <a:lstStyle/>
              <a:p>
                <a:pPr>
                  <a:defRPr sz="1100" b="1" i="0" u="none" strike="noStrike" kern="1200" baseline="0">
                    <a:solidFill>
                      <a:srgbClr val="FF0000"/>
                    </a:solidFill>
                    <a:latin typeface="+mj-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'Outputs '!$B$259:$B$263</c:f>
              <c:strCache>
                <c:ptCount val="4"/>
                <c:pt idx="0">
                  <c:v>KKR x Spectris Entry Multiple</c:v>
                </c:pt>
                <c:pt idx="1">
                  <c:v>Teledyne (test &amp; measurement peer)</c:v>
                </c:pt>
                <c:pt idx="2">
                  <c:v>Danaher (tools &amp; diagnostics peer)</c:v>
                </c:pt>
                <c:pt idx="3">
                  <c:v>Sector Median (industrial tech)</c:v>
                </c:pt>
              </c:strCache>
            </c:strRef>
          </c:cat>
          <c:val>
            <c:numRef>
              <c:f>'Outputs '!$G$259:$G$263</c:f>
              <c:numCache>
                <c:formatCode>0.0\x</c:formatCode>
                <c:ptCount val="5"/>
                <c:pt idx="0">
                  <c:v>20</c:v>
                </c:pt>
                <c:pt idx="1">
                  <c:v>18.7</c:v>
                </c:pt>
                <c:pt idx="2">
                  <c:v>16.2</c:v>
                </c:pt>
                <c:pt idx="3">
                  <c:v>14.2</c:v>
                </c:pt>
              </c:numCache>
            </c:numRef>
          </c:val>
          <c:extLst>
            <c:ext xmlns:c16="http://schemas.microsoft.com/office/drawing/2014/chart" uri="{C3380CC4-5D6E-409C-BE32-E72D297353CC}">
              <c16:uniqueId val="{00000004-C792-E946-A413-0FA7B3C7B990}"/>
            </c:ext>
          </c:extLst>
        </c:ser>
        <c:dLbls>
          <c:showLegendKey val="0"/>
          <c:showVal val="0"/>
          <c:showCatName val="0"/>
          <c:showSerName val="0"/>
          <c:showPercent val="0"/>
          <c:showBubbleSize val="0"/>
        </c:dLbls>
        <c:gapWidth val="150"/>
        <c:shape val="box"/>
        <c:axId val="279146864"/>
        <c:axId val="279253024"/>
        <c:axId val="0"/>
        <c:extLst>
          <c:ext xmlns:c15="http://schemas.microsoft.com/office/drawing/2012/chart" uri="{02D57815-91ED-43cb-92C2-25804820EDAC}">
            <c15:filteredBarSeries>
              <c15:ser>
                <c:idx val="0"/>
                <c:order val="0"/>
                <c:spPr>
                  <a:solidFill>
                    <a:schemeClr val="accent1"/>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uri="{CE6537A1-D6FC-4f65-9D91-7224C49458BB}">
                      <c15:spPr xmlns:c15="http://schemas.microsoft.com/office/drawing/2012/chart">
                        <a:prstGeom prst="wedgeRectCallout">
                          <a:avLst/>
                        </a:prstGeom>
                        <a:noFill/>
                        <a:ln>
                          <a:noFill/>
                        </a:ln>
                      </c15:spPr>
                      <c15:showLeaderLines val="0"/>
                    </c:ext>
                  </c:extLst>
                </c:dLbls>
                <c:cat>
                  <c:strRef>
                    <c:extLst>
                      <c:ext uri="{02D57815-91ED-43cb-92C2-25804820EDAC}">
                        <c15:formulaRef>
                          <c15:sqref>'Outputs '!$B$259:$B$263</c15:sqref>
                        </c15:formulaRef>
                      </c:ext>
                    </c:extLst>
                    <c:strCache>
                      <c:ptCount val="4"/>
                      <c:pt idx="0">
                        <c:v>KKR x Spectris Entry Multiple</c:v>
                      </c:pt>
                      <c:pt idx="1">
                        <c:v>Teledyne (test &amp; measurement peer)</c:v>
                      </c:pt>
                      <c:pt idx="2">
                        <c:v>Danaher (tools &amp; diagnostics peer)</c:v>
                      </c:pt>
                      <c:pt idx="3">
                        <c:v>Sector Median (industrial tech)</c:v>
                      </c:pt>
                    </c:strCache>
                  </c:strRef>
                </c:cat>
                <c:val>
                  <c:numRef>
                    <c:extLst>
                      <c:ext uri="{02D57815-91ED-43cb-92C2-25804820EDAC}">
                        <c15:formulaRef>
                          <c15:sqref>'Outputs '!$C$259:$C$263</c15:sqref>
                        </c15:formulaRef>
                      </c:ext>
                    </c:extLst>
                    <c:numCache>
                      <c:formatCode>General</c:formatCode>
                      <c:ptCount val="5"/>
                    </c:numCache>
                  </c:numRef>
                </c:val>
                <c:extLst>
                  <c:ext xmlns:c16="http://schemas.microsoft.com/office/drawing/2014/chart" uri="{C3380CC4-5D6E-409C-BE32-E72D297353CC}">
                    <c16:uniqueId val="{00000000-C792-E946-A413-0FA7B3C7B990}"/>
                  </c:ext>
                </c:extLst>
              </c15:ser>
            </c15:filteredBarSeries>
            <c15:filteredBarSeries>
              <c15:ser>
                <c:idx val="1"/>
                <c:order val="1"/>
                <c:spPr>
                  <a:solidFill>
                    <a:schemeClr val="accent2"/>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xmlns:c15="http://schemas.microsoft.com/office/drawing/2012/char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extLst xmlns:c15="http://schemas.microsoft.com/office/drawing/2012/chart">
                      <c:ext xmlns:c15="http://schemas.microsoft.com/office/drawing/2012/chart" uri="{02D57815-91ED-43cb-92C2-25804820EDAC}">
                        <c15:formulaRef>
                          <c15:sqref>'Outputs '!$B$259:$B$263</c15:sqref>
                        </c15:formulaRef>
                      </c:ext>
                    </c:extLst>
                    <c:strCache>
                      <c:ptCount val="4"/>
                      <c:pt idx="0">
                        <c:v>KKR x Spectris Entry Multiple</c:v>
                      </c:pt>
                      <c:pt idx="1">
                        <c:v>Teledyne (test &amp; measurement peer)</c:v>
                      </c:pt>
                      <c:pt idx="2">
                        <c:v>Danaher (tools &amp; diagnostics peer)</c:v>
                      </c:pt>
                      <c:pt idx="3">
                        <c:v>Sector Median (industrial tech)</c:v>
                      </c:pt>
                    </c:strCache>
                  </c:strRef>
                </c:cat>
                <c:val>
                  <c:numRef>
                    <c:extLst xmlns:c15="http://schemas.microsoft.com/office/drawing/2012/chart">
                      <c:ext xmlns:c15="http://schemas.microsoft.com/office/drawing/2012/chart" uri="{02D57815-91ED-43cb-92C2-25804820EDAC}">
                        <c15:formulaRef>
                          <c15:sqref>'Outputs '!$D$259:$D$263</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1-C792-E946-A413-0FA7B3C7B990}"/>
                  </c:ext>
                </c:extLst>
              </c15:ser>
            </c15:filteredBarSeries>
            <c15:filteredBarSeries>
              <c15:ser>
                <c:idx val="2"/>
                <c:order val="2"/>
                <c:spPr>
                  <a:solidFill>
                    <a:schemeClr val="accent3"/>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xmlns:c15="http://schemas.microsoft.com/office/drawing/2012/char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extLst xmlns:c15="http://schemas.microsoft.com/office/drawing/2012/chart">
                      <c:ext xmlns:c15="http://schemas.microsoft.com/office/drawing/2012/chart" uri="{02D57815-91ED-43cb-92C2-25804820EDAC}">
                        <c15:formulaRef>
                          <c15:sqref>'Outputs '!$B$259:$B$263</c15:sqref>
                        </c15:formulaRef>
                      </c:ext>
                    </c:extLst>
                    <c:strCache>
                      <c:ptCount val="4"/>
                      <c:pt idx="0">
                        <c:v>KKR x Spectris Entry Multiple</c:v>
                      </c:pt>
                      <c:pt idx="1">
                        <c:v>Teledyne (test &amp; measurement peer)</c:v>
                      </c:pt>
                      <c:pt idx="2">
                        <c:v>Danaher (tools &amp; diagnostics peer)</c:v>
                      </c:pt>
                      <c:pt idx="3">
                        <c:v>Sector Median (industrial tech)</c:v>
                      </c:pt>
                    </c:strCache>
                  </c:strRef>
                </c:cat>
                <c:val>
                  <c:numRef>
                    <c:extLst xmlns:c15="http://schemas.microsoft.com/office/drawing/2012/chart">
                      <c:ext xmlns:c15="http://schemas.microsoft.com/office/drawing/2012/chart" uri="{02D57815-91ED-43cb-92C2-25804820EDAC}">
                        <c15:formulaRef>
                          <c15:sqref>'Outputs '!$E$259:$E$263</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2-C792-E946-A413-0FA7B3C7B990}"/>
                  </c:ext>
                </c:extLst>
              </c15:ser>
            </c15:filteredBarSeries>
            <c15:filteredBarSeries>
              <c15:ser>
                <c:idx val="3"/>
                <c:order val="3"/>
                <c:spPr>
                  <a:solidFill>
                    <a:schemeClr val="accent4"/>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xmlns:c15="http://schemas.microsoft.com/office/drawing/2012/char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extLst xmlns:c15="http://schemas.microsoft.com/office/drawing/2012/chart">
                      <c:ext xmlns:c15="http://schemas.microsoft.com/office/drawing/2012/chart" uri="{02D57815-91ED-43cb-92C2-25804820EDAC}">
                        <c15:formulaRef>
                          <c15:sqref>'Outputs '!$B$259:$B$263</c15:sqref>
                        </c15:formulaRef>
                      </c:ext>
                    </c:extLst>
                    <c:strCache>
                      <c:ptCount val="4"/>
                      <c:pt idx="0">
                        <c:v>KKR x Spectris Entry Multiple</c:v>
                      </c:pt>
                      <c:pt idx="1">
                        <c:v>Teledyne (test &amp; measurement peer)</c:v>
                      </c:pt>
                      <c:pt idx="2">
                        <c:v>Danaher (tools &amp; diagnostics peer)</c:v>
                      </c:pt>
                      <c:pt idx="3">
                        <c:v>Sector Median (industrial tech)</c:v>
                      </c:pt>
                    </c:strCache>
                  </c:strRef>
                </c:cat>
                <c:val>
                  <c:numRef>
                    <c:extLst xmlns:c15="http://schemas.microsoft.com/office/drawing/2012/chart">
                      <c:ext xmlns:c15="http://schemas.microsoft.com/office/drawing/2012/chart" uri="{02D57815-91ED-43cb-92C2-25804820EDAC}">
                        <c15:formulaRef>
                          <c15:sqref>'Outputs '!$F$259:$F$263</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3-C792-E946-A413-0FA7B3C7B990}"/>
                  </c:ext>
                </c:extLst>
              </c15:ser>
            </c15:filteredBarSeries>
          </c:ext>
        </c:extLst>
      </c:bar3DChart>
      <c:catAx>
        <c:axId val="279146864"/>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j-lt"/>
                <a:ea typeface="+mn-ea"/>
                <a:cs typeface="+mn-cs"/>
              </a:defRPr>
            </a:pPr>
            <a:endParaRPr lang="en-US"/>
          </a:p>
        </c:txPr>
        <c:crossAx val="279253024"/>
        <c:crosses val="autoZero"/>
        <c:auto val="1"/>
        <c:lblAlgn val="ctr"/>
        <c:lblOffset val="100"/>
        <c:noMultiLvlLbl val="0"/>
      </c:catAx>
      <c:valAx>
        <c:axId val="279253024"/>
        <c:scaling>
          <c:orientation val="minMax"/>
          <c:max val="25"/>
        </c:scaling>
        <c:delete val="1"/>
        <c:axPos val="b"/>
        <c:numFmt formatCode="0.0\x" sourceLinked="1"/>
        <c:majorTickMark val="out"/>
        <c:minorTickMark val="none"/>
        <c:tickLblPos val="nextTo"/>
        <c:crossAx val="2791468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105237932215005E-2"/>
          <c:y val="0.13103691927221339"/>
          <c:w val="0.892430993951843"/>
          <c:h val="0.78728751910780626"/>
        </c:manualLayout>
      </c:layout>
      <c:lineChart>
        <c:grouping val="standard"/>
        <c:varyColors val="0"/>
        <c:ser>
          <c:idx val="0"/>
          <c:order val="0"/>
          <c:tx>
            <c:strRef>
              <c:f>'Share Price Data'!$C$5</c:f>
              <c:strCache>
                <c:ptCount val="1"/>
                <c:pt idx="0">
                  <c:v>SXS | Share Price (Daily)(£)</c:v>
                </c:pt>
              </c:strCache>
            </c:strRef>
          </c:tx>
          <c:spPr>
            <a:ln w="28575" cap="rnd">
              <a:solidFill>
                <a:srgbClr val="7030A0"/>
              </a:solidFill>
              <a:round/>
            </a:ln>
            <a:effectLst/>
          </c:spPr>
          <c:marker>
            <c:symbol val="none"/>
          </c:marker>
          <c:cat>
            <c:numRef>
              <c:f>'Share Price Data'!$B$6:$B$190</c:f>
              <c:numCache>
                <c:formatCode>0%</c:formatCode>
                <c:ptCount val="185"/>
                <c:pt idx="0">
                  <c:v>45729</c:v>
                </c:pt>
                <c:pt idx="1">
                  <c:v>45730</c:v>
                </c:pt>
                <c:pt idx="2">
                  <c:v>45733</c:v>
                </c:pt>
                <c:pt idx="3">
                  <c:v>45734</c:v>
                </c:pt>
                <c:pt idx="4">
                  <c:v>45735</c:v>
                </c:pt>
                <c:pt idx="5">
                  <c:v>45736</c:v>
                </c:pt>
                <c:pt idx="6">
                  <c:v>45737</c:v>
                </c:pt>
                <c:pt idx="7">
                  <c:v>45740</c:v>
                </c:pt>
                <c:pt idx="8">
                  <c:v>45741</c:v>
                </c:pt>
                <c:pt idx="9">
                  <c:v>45742</c:v>
                </c:pt>
                <c:pt idx="10">
                  <c:v>45743</c:v>
                </c:pt>
                <c:pt idx="11">
                  <c:v>45744</c:v>
                </c:pt>
                <c:pt idx="12">
                  <c:v>45747</c:v>
                </c:pt>
                <c:pt idx="13">
                  <c:v>45748</c:v>
                </c:pt>
                <c:pt idx="14">
                  <c:v>45749</c:v>
                </c:pt>
                <c:pt idx="15">
                  <c:v>45750</c:v>
                </c:pt>
                <c:pt idx="16">
                  <c:v>45751</c:v>
                </c:pt>
                <c:pt idx="17">
                  <c:v>45754</c:v>
                </c:pt>
                <c:pt idx="18">
                  <c:v>45755</c:v>
                </c:pt>
                <c:pt idx="19">
                  <c:v>45756</c:v>
                </c:pt>
                <c:pt idx="20">
                  <c:v>45757</c:v>
                </c:pt>
                <c:pt idx="21">
                  <c:v>45758</c:v>
                </c:pt>
                <c:pt idx="22">
                  <c:v>45761</c:v>
                </c:pt>
                <c:pt idx="23">
                  <c:v>45762</c:v>
                </c:pt>
                <c:pt idx="24">
                  <c:v>45763</c:v>
                </c:pt>
                <c:pt idx="25">
                  <c:v>45764</c:v>
                </c:pt>
                <c:pt idx="26">
                  <c:v>45769</c:v>
                </c:pt>
                <c:pt idx="27">
                  <c:v>45770</c:v>
                </c:pt>
                <c:pt idx="28">
                  <c:v>45771</c:v>
                </c:pt>
                <c:pt idx="29">
                  <c:v>45772</c:v>
                </c:pt>
                <c:pt idx="30">
                  <c:v>45775</c:v>
                </c:pt>
                <c:pt idx="31">
                  <c:v>45776</c:v>
                </c:pt>
                <c:pt idx="32">
                  <c:v>45777</c:v>
                </c:pt>
                <c:pt idx="33">
                  <c:v>45778</c:v>
                </c:pt>
                <c:pt idx="34">
                  <c:v>45779</c:v>
                </c:pt>
                <c:pt idx="35">
                  <c:v>45783</c:v>
                </c:pt>
                <c:pt idx="36">
                  <c:v>45784</c:v>
                </c:pt>
                <c:pt idx="37">
                  <c:v>45785</c:v>
                </c:pt>
                <c:pt idx="38">
                  <c:v>45786</c:v>
                </c:pt>
                <c:pt idx="39">
                  <c:v>45789</c:v>
                </c:pt>
                <c:pt idx="40">
                  <c:v>45790</c:v>
                </c:pt>
                <c:pt idx="41">
                  <c:v>45791</c:v>
                </c:pt>
                <c:pt idx="42">
                  <c:v>45792</c:v>
                </c:pt>
                <c:pt idx="43">
                  <c:v>45793</c:v>
                </c:pt>
                <c:pt idx="44">
                  <c:v>45796</c:v>
                </c:pt>
                <c:pt idx="45">
                  <c:v>45797</c:v>
                </c:pt>
                <c:pt idx="46">
                  <c:v>45798</c:v>
                </c:pt>
                <c:pt idx="47">
                  <c:v>45799</c:v>
                </c:pt>
                <c:pt idx="48">
                  <c:v>45800</c:v>
                </c:pt>
                <c:pt idx="49">
                  <c:v>45804</c:v>
                </c:pt>
                <c:pt idx="50">
                  <c:v>45805</c:v>
                </c:pt>
                <c:pt idx="51">
                  <c:v>45806</c:v>
                </c:pt>
                <c:pt idx="52">
                  <c:v>45807</c:v>
                </c:pt>
                <c:pt idx="53">
                  <c:v>45810</c:v>
                </c:pt>
                <c:pt idx="54">
                  <c:v>45811</c:v>
                </c:pt>
                <c:pt idx="55">
                  <c:v>45812</c:v>
                </c:pt>
                <c:pt idx="56">
                  <c:v>45813</c:v>
                </c:pt>
                <c:pt idx="57">
                  <c:v>45814</c:v>
                </c:pt>
                <c:pt idx="58">
                  <c:v>45817</c:v>
                </c:pt>
                <c:pt idx="59">
                  <c:v>45818</c:v>
                </c:pt>
                <c:pt idx="60">
                  <c:v>45819</c:v>
                </c:pt>
                <c:pt idx="61">
                  <c:v>45820</c:v>
                </c:pt>
                <c:pt idx="62">
                  <c:v>45821</c:v>
                </c:pt>
                <c:pt idx="63">
                  <c:v>45824</c:v>
                </c:pt>
                <c:pt idx="64">
                  <c:v>45825</c:v>
                </c:pt>
                <c:pt idx="65">
                  <c:v>45826</c:v>
                </c:pt>
                <c:pt idx="66">
                  <c:v>45827</c:v>
                </c:pt>
                <c:pt idx="67">
                  <c:v>45828</c:v>
                </c:pt>
                <c:pt idx="68">
                  <c:v>45831</c:v>
                </c:pt>
                <c:pt idx="69">
                  <c:v>45832</c:v>
                </c:pt>
                <c:pt idx="70">
                  <c:v>45833</c:v>
                </c:pt>
                <c:pt idx="71">
                  <c:v>45834</c:v>
                </c:pt>
                <c:pt idx="72">
                  <c:v>45835</c:v>
                </c:pt>
                <c:pt idx="73">
                  <c:v>45838</c:v>
                </c:pt>
                <c:pt idx="74">
                  <c:v>45839</c:v>
                </c:pt>
                <c:pt idx="75">
                  <c:v>45840</c:v>
                </c:pt>
                <c:pt idx="76">
                  <c:v>45841</c:v>
                </c:pt>
                <c:pt idx="77">
                  <c:v>45842</c:v>
                </c:pt>
                <c:pt idx="78">
                  <c:v>45845</c:v>
                </c:pt>
                <c:pt idx="79">
                  <c:v>45846</c:v>
                </c:pt>
                <c:pt idx="80">
                  <c:v>45847</c:v>
                </c:pt>
                <c:pt idx="81">
                  <c:v>45848</c:v>
                </c:pt>
                <c:pt idx="82">
                  <c:v>45849</c:v>
                </c:pt>
                <c:pt idx="83">
                  <c:v>45852</c:v>
                </c:pt>
                <c:pt idx="84">
                  <c:v>45853</c:v>
                </c:pt>
                <c:pt idx="85">
                  <c:v>45854</c:v>
                </c:pt>
                <c:pt idx="86">
                  <c:v>45855</c:v>
                </c:pt>
                <c:pt idx="87">
                  <c:v>45856</c:v>
                </c:pt>
                <c:pt idx="88">
                  <c:v>45859</c:v>
                </c:pt>
                <c:pt idx="89">
                  <c:v>45860</c:v>
                </c:pt>
                <c:pt idx="90">
                  <c:v>45861</c:v>
                </c:pt>
                <c:pt idx="91">
                  <c:v>45862</c:v>
                </c:pt>
                <c:pt idx="92">
                  <c:v>45863</c:v>
                </c:pt>
                <c:pt idx="93">
                  <c:v>45866</c:v>
                </c:pt>
                <c:pt idx="94">
                  <c:v>45867</c:v>
                </c:pt>
                <c:pt idx="95">
                  <c:v>45868</c:v>
                </c:pt>
                <c:pt idx="96">
                  <c:v>45869</c:v>
                </c:pt>
                <c:pt idx="97">
                  <c:v>45870</c:v>
                </c:pt>
                <c:pt idx="98">
                  <c:v>45873</c:v>
                </c:pt>
                <c:pt idx="99">
                  <c:v>45874</c:v>
                </c:pt>
                <c:pt idx="100">
                  <c:v>45875</c:v>
                </c:pt>
                <c:pt idx="101">
                  <c:v>45876</c:v>
                </c:pt>
                <c:pt idx="102">
                  <c:v>45877</c:v>
                </c:pt>
                <c:pt idx="103">
                  <c:v>45880</c:v>
                </c:pt>
                <c:pt idx="104">
                  <c:v>45881</c:v>
                </c:pt>
                <c:pt idx="105">
                  <c:v>45882</c:v>
                </c:pt>
                <c:pt idx="106">
                  <c:v>45883</c:v>
                </c:pt>
                <c:pt idx="107">
                  <c:v>45884</c:v>
                </c:pt>
                <c:pt idx="108">
                  <c:v>45887</c:v>
                </c:pt>
                <c:pt idx="109">
                  <c:v>45888</c:v>
                </c:pt>
                <c:pt idx="110">
                  <c:v>45889</c:v>
                </c:pt>
                <c:pt idx="111">
                  <c:v>45890</c:v>
                </c:pt>
                <c:pt idx="112">
                  <c:v>45891</c:v>
                </c:pt>
                <c:pt idx="113">
                  <c:v>45895</c:v>
                </c:pt>
                <c:pt idx="114">
                  <c:v>45896</c:v>
                </c:pt>
                <c:pt idx="115">
                  <c:v>45897</c:v>
                </c:pt>
                <c:pt idx="116">
                  <c:v>45898</c:v>
                </c:pt>
                <c:pt idx="117">
                  <c:v>45901</c:v>
                </c:pt>
                <c:pt idx="118">
                  <c:v>45902</c:v>
                </c:pt>
                <c:pt idx="119">
                  <c:v>45903</c:v>
                </c:pt>
                <c:pt idx="120">
                  <c:v>45904</c:v>
                </c:pt>
                <c:pt idx="121">
                  <c:v>45905</c:v>
                </c:pt>
                <c:pt idx="122">
                  <c:v>45908</c:v>
                </c:pt>
                <c:pt idx="123">
                  <c:v>45909</c:v>
                </c:pt>
                <c:pt idx="124">
                  <c:v>45910</c:v>
                </c:pt>
                <c:pt idx="125">
                  <c:v>45911</c:v>
                </c:pt>
                <c:pt idx="126">
                  <c:v>45912</c:v>
                </c:pt>
                <c:pt idx="127">
                  <c:v>45915</c:v>
                </c:pt>
                <c:pt idx="128">
                  <c:v>45916</c:v>
                </c:pt>
                <c:pt idx="129">
                  <c:v>45917</c:v>
                </c:pt>
                <c:pt idx="130">
                  <c:v>45918</c:v>
                </c:pt>
                <c:pt idx="131">
                  <c:v>45919</c:v>
                </c:pt>
                <c:pt idx="132">
                  <c:v>45922</c:v>
                </c:pt>
                <c:pt idx="133">
                  <c:v>45923</c:v>
                </c:pt>
                <c:pt idx="134">
                  <c:v>45924</c:v>
                </c:pt>
                <c:pt idx="135">
                  <c:v>45925</c:v>
                </c:pt>
                <c:pt idx="136">
                  <c:v>45926</c:v>
                </c:pt>
                <c:pt idx="137">
                  <c:v>45929</c:v>
                </c:pt>
                <c:pt idx="138">
                  <c:v>45930</c:v>
                </c:pt>
                <c:pt idx="139">
                  <c:v>45931</c:v>
                </c:pt>
                <c:pt idx="140">
                  <c:v>45932</c:v>
                </c:pt>
                <c:pt idx="141">
                  <c:v>45933</c:v>
                </c:pt>
                <c:pt idx="142">
                  <c:v>45936</c:v>
                </c:pt>
                <c:pt idx="143">
                  <c:v>45937</c:v>
                </c:pt>
                <c:pt idx="144">
                  <c:v>45938</c:v>
                </c:pt>
                <c:pt idx="145">
                  <c:v>45939</c:v>
                </c:pt>
                <c:pt idx="146">
                  <c:v>45940</c:v>
                </c:pt>
                <c:pt idx="147">
                  <c:v>45943</c:v>
                </c:pt>
                <c:pt idx="148">
                  <c:v>45944</c:v>
                </c:pt>
                <c:pt idx="149">
                  <c:v>45945</c:v>
                </c:pt>
                <c:pt idx="150">
                  <c:v>45946</c:v>
                </c:pt>
                <c:pt idx="151">
                  <c:v>45947</c:v>
                </c:pt>
                <c:pt idx="152">
                  <c:v>45950</c:v>
                </c:pt>
                <c:pt idx="153">
                  <c:v>45951</c:v>
                </c:pt>
                <c:pt idx="154">
                  <c:v>45952</c:v>
                </c:pt>
                <c:pt idx="155">
                  <c:v>45953</c:v>
                </c:pt>
                <c:pt idx="156">
                  <c:v>45954</c:v>
                </c:pt>
                <c:pt idx="157">
                  <c:v>45957</c:v>
                </c:pt>
                <c:pt idx="158">
                  <c:v>45958</c:v>
                </c:pt>
                <c:pt idx="159">
                  <c:v>45959</c:v>
                </c:pt>
                <c:pt idx="160">
                  <c:v>45960</c:v>
                </c:pt>
                <c:pt idx="161">
                  <c:v>45961</c:v>
                </c:pt>
                <c:pt idx="162">
                  <c:v>45964</c:v>
                </c:pt>
                <c:pt idx="163">
                  <c:v>45965</c:v>
                </c:pt>
                <c:pt idx="164">
                  <c:v>45966</c:v>
                </c:pt>
                <c:pt idx="165">
                  <c:v>45967</c:v>
                </c:pt>
                <c:pt idx="166">
                  <c:v>45968</c:v>
                </c:pt>
                <c:pt idx="167">
                  <c:v>45971</c:v>
                </c:pt>
                <c:pt idx="168">
                  <c:v>45972</c:v>
                </c:pt>
                <c:pt idx="169">
                  <c:v>45973</c:v>
                </c:pt>
                <c:pt idx="170">
                  <c:v>45974</c:v>
                </c:pt>
                <c:pt idx="171">
                  <c:v>45975</c:v>
                </c:pt>
                <c:pt idx="172">
                  <c:v>45978</c:v>
                </c:pt>
                <c:pt idx="173">
                  <c:v>45979</c:v>
                </c:pt>
                <c:pt idx="174">
                  <c:v>45980</c:v>
                </c:pt>
                <c:pt idx="175">
                  <c:v>45981</c:v>
                </c:pt>
                <c:pt idx="176">
                  <c:v>45982</c:v>
                </c:pt>
                <c:pt idx="177">
                  <c:v>45985</c:v>
                </c:pt>
                <c:pt idx="178">
                  <c:v>45986</c:v>
                </c:pt>
                <c:pt idx="179">
                  <c:v>45987</c:v>
                </c:pt>
                <c:pt idx="180">
                  <c:v>45988</c:v>
                </c:pt>
                <c:pt idx="181">
                  <c:v>45989</c:v>
                </c:pt>
                <c:pt idx="182">
                  <c:v>45992</c:v>
                </c:pt>
                <c:pt idx="183">
                  <c:v>45993</c:v>
                </c:pt>
                <c:pt idx="184">
                  <c:v>45994</c:v>
                </c:pt>
              </c:numCache>
            </c:numRef>
          </c:cat>
          <c:val>
            <c:numRef>
              <c:f>'Share Price Data'!$C$6:$C$190</c:f>
              <c:numCache>
                <c:formatCode>0%</c:formatCode>
                <c:ptCount val="185"/>
                <c:pt idx="0">
                  <c:v>25.24</c:v>
                </c:pt>
                <c:pt idx="1">
                  <c:v>25.58</c:v>
                </c:pt>
                <c:pt idx="2">
                  <c:v>25.24</c:v>
                </c:pt>
                <c:pt idx="3">
                  <c:v>25.16</c:v>
                </c:pt>
                <c:pt idx="4">
                  <c:v>25.18</c:v>
                </c:pt>
                <c:pt idx="5">
                  <c:v>24.94</c:v>
                </c:pt>
                <c:pt idx="6">
                  <c:v>24.58</c:v>
                </c:pt>
                <c:pt idx="7">
                  <c:v>24.68</c:v>
                </c:pt>
                <c:pt idx="8">
                  <c:v>24.14</c:v>
                </c:pt>
                <c:pt idx="9">
                  <c:v>24</c:v>
                </c:pt>
                <c:pt idx="10">
                  <c:v>24.16</c:v>
                </c:pt>
                <c:pt idx="11">
                  <c:v>23.84</c:v>
                </c:pt>
                <c:pt idx="12">
                  <c:v>23.18</c:v>
                </c:pt>
                <c:pt idx="13">
                  <c:v>23.04</c:v>
                </c:pt>
                <c:pt idx="14">
                  <c:v>22.94</c:v>
                </c:pt>
                <c:pt idx="15">
                  <c:v>21.16</c:v>
                </c:pt>
                <c:pt idx="16">
                  <c:v>20.5</c:v>
                </c:pt>
                <c:pt idx="17">
                  <c:v>19.91</c:v>
                </c:pt>
                <c:pt idx="18">
                  <c:v>19.899999999999999</c:v>
                </c:pt>
                <c:pt idx="19">
                  <c:v>19.09</c:v>
                </c:pt>
                <c:pt idx="20">
                  <c:v>20.84</c:v>
                </c:pt>
                <c:pt idx="21">
                  <c:v>19.53</c:v>
                </c:pt>
                <c:pt idx="22">
                  <c:v>20.440000000000001</c:v>
                </c:pt>
                <c:pt idx="23">
                  <c:v>20.64</c:v>
                </c:pt>
                <c:pt idx="24">
                  <c:v>20.78</c:v>
                </c:pt>
                <c:pt idx="25">
                  <c:v>19.87</c:v>
                </c:pt>
                <c:pt idx="26">
                  <c:v>19.579999999999998</c:v>
                </c:pt>
                <c:pt idx="27">
                  <c:v>19.96</c:v>
                </c:pt>
                <c:pt idx="28">
                  <c:v>20.260000000000002</c:v>
                </c:pt>
                <c:pt idx="29">
                  <c:v>20.420000000000002</c:v>
                </c:pt>
                <c:pt idx="30">
                  <c:v>20.22</c:v>
                </c:pt>
                <c:pt idx="31">
                  <c:v>20.02</c:v>
                </c:pt>
                <c:pt idx="32">
                  <c:v>20</c:v>
                </c:pt>
                <c:pt idx="33">
                  <c:v>20.82</c:v>
                </c:pt>
                <c:pt idx="34">
                  <c:v>20.3</c:v>
                </c:pt>
                <c:pt idx="35">
                  <c:v>20.260000000000002</c:v>
                </c:pt>
                <c:pt idx="36">
                  <c:v>20.02</c:v>
                </c:pt>
                <c:pt idx="37">
                  <c:v>20.54</c:v>
                </c:pt>
                <c:pt idx="38">
                  <c:v>20.92</c:v>
                </c:pt>
                <c:pt idx="39">
                  <c:v>21.92</c:v>
                </c:pt>
                <c:pt idx="40">
                  <c:v>22.16</c:v>
                </c:pt>
                <c:pt idx="41">
                  <c:v>21.86</c:v>
                </c:pt>
                <c:pt idx="42">
                  <c:v>20.78</c:v>
                </c:pt>
                <c:pt idx="43">
                  <c:v>20.7</c:v>
                </c:pt>
                <c:pt idx="44">
                  <c:v>20.48</c:v>
                </c:pt>
                <c:pt idx="45">
                  <c:v>20.52</c:v>
                </c:pt>
                <c:pt idx="46">
                  <c:v>20.440000000000001</c:v>
                </c:pt>
                <c:pt idx="47">
                  <c:v>19.940000000000001</c:v>
                </c:pt>
                <c:pt idx="48">
                  <c:v>19.52</c:v>
                </c:pt>
                <c:pt idx="49">
                  <c:v>20.38</c:v>
                </c:pt>
                <c:pt idx="50">
                  <c:v>20.16</c:v>
                </c:pt>
                <c:pt idx="51">
                  <c:v>20.2</c:v>
                </c:pt>
                <c:pt idx="52">
                  <c:v>20.04</c:v>
                </c:pt>
                <c:pt idx="53">
                  <c:v>20.32</c:v>
                </c:pt>
                <c:pt idx="54">
                  <c:v>20.28</c:v>
                </c:pt>
                <c:pt idx="55">
                  <c:v>20.399999999999999</c:v>
                </c:pt>
                <c:pt idx="56">
                  <c:v>20.260000000000002</c:v>
                </c:pt>
                <c:pt idx="57">
                  <c:v>20.38</c:v>
                </c:pt>
                <c:pt idx="58">
                  <c:v>32.64</c:v>
                </c:pt>
                <c:pt idx="59">
                  <c:v>32.04</c:v>
                </c:pt>
                <c:pt idx="60">
                  <c:v>32.1</c:v>
                </c:pt>
                <c:pt idx="61">
                  <c:v>32.18</c:v>
                </c:pt>
                <c:pt idx="62">
                  <c:v>31.58</c:v>
                </c:pt>
                <c:pt idx="63">
                  <c:v>33.42</c:v>
                </c:pt>
                <c:pt idx="64">
                  <c:v>33.1</c:v>
                </c:pt>
                <c:pt idx="65">
                  <c:v>33.46</c:v>
                </c:pt>
                <c:pt idx="66">
                  <c:v>33.4</c:v>
                </c:pt>
                <c:pt idx="67">
                  <c:v>32.82</c:v>
                </c:pt>
                <c:pt idx="68">
                  <c:v>37.979999999999997</c:v>
                </c:pt>
                <c:pt idx="69">
                  <c:v>38.14</c:v>
                </c:pt>
                <c:pt idx="70">
                  <c:v>38.159999999999997</c:v>
                </c:pt>
                <c:pt idx="71">
                  <c:v>38.76</c:v>
                </c:pt>
                <c:pt idx="72">
                  <c:v>38.54</c:v>
                </c:pt>
                <c:pt idx="73">
                  <c:v>38.380000000000003</c:v>
                </c:pt>
                <c:pt idx="74">
                  <c:v>38.299999999999997</c:v>
                </c:pt>
                <c:pt idx="75">
                  <c:v>39.72</c:v>
                </c:pt>
                <c:pt idx="76">
                  <c:v>40</c:v>
                </c:pt>
                <c:pt idx="77">
                  <c:v>40.18</c:v>
                </c:pt>
                <c:pt idx="78">
                  <c:v>39.799999999999997</c:v>
                </c:pt>
                <c:pt idx="79">
                  <c:v>39.880000000000003</c:v>
                </c:pt>
                <c:pt idx="80">
                  <c:v>39.799999999999997</c:v>
                </c:pt>
                <c:pt idx="81">
                  <c:v>39.86</c:v>
                </c:pt>
                <c:pt idx="82">
                  <c:v>39.799999999999997</c:v>
                </c:pt>
                <c:pt idx="83">
                  <c:v>39.799999999999997</c:v>
                </c:pt>
                <c:pt idx="84">
                  <c:v>39.76</c:v>
                </c:pt>
                <c:pt idx="85">
                  <c:v>39.74</c:v>
                </c:pt>
                <c:pt idx="86">
                  <c:v>39.700000000000003</c:v>
                </c:pt>
                <c:pt idx="87">
                  <c:v>39.72</c:v>
                </c:pt>
                <c:pt idx="88">
                  <c:v>39.700000000000003</c:v>
                </c:pt>
                <c:pt idx="89">
                  <c:v>39.64</c:v>
                </c:pt>
                <c:pt idx="90">
                  <c:v>39.74</c:v>
                </c:pt>
                <c:pt idx="91">
                  <c:v>39.74</c:v>
                </c:pt>
                <c:pt idx="92">
                  <c:v>39.799999999999997</c:v>
                </c:pt>
                <c:pt idx="93">
                  <c:v>39.78</c:v>
                </c:pt>
                <c:pt idx="94">
                  <c:v>39.880000000000003</c:v>
                </c:pt>
                <c:pt idx="95">
                  <c:v>39.92</c:v>
                </c:pt>
                <c:pt idx="96">
                  <c:v>39.9</c:v>
                </c:pt>
                <c:pt idx="97">
                  <c:v>40.78</c:v>
                </c:pt>
                <c:pt idx="98">
                  <c:v>40.82</c:v>
                </c:pt>
                <c:pt idx="99">
                  <c:v>41.1</c:v>
                </c:pt>
                <c:pt idx="100">
                  <c:v>41.34</c:v>
                </c:pt>
                <c:pt idx="101">
                  <c:v>41.6</c:v>
                </c:pt>
                <c:pt idx="102">
                  <c:v>41.66</c:v>
                </c:pt>
                <c:pt idx="103">
                  <c:v>40.340000000000003</c:v>
                </c:pt>
                <c:pt idx="104">
                  <c:v>40.32</c:v>
                </c:pt>
                <c:pt idx="105">
                  <c:v>40.32</c:v>
                </c:pt>
                <c:pt idx="106">
                  <c:v>40.26</c:v>
                </c:pt>
                <c:pt idx="107">
                  <c:v>40.32</c:v>
                </c:pt>
                <c:pt idx="108">
                  <c:v>40.32</c:v>
                </c:pt>
                <c:pt idx="109">
                  <c:v>40.299999999999997</c:v>
                </c:pt>
                <c:pt idx="110">
                  <c:v>40.4</c:v>
                </c:pt>
                <c:pt idx="111">
                  <c:v>40.380000000000003</c:v>
                </c:pt>
                <c:pt idx="112">
                  <c:v>40.42</c:v>
                </c:pt>
                <c:pt idx="113">
                  <c:v>40.4</c:v>
                </c:pt>
                <c:pt idx="114">
                  <c:v>40.4</c:v>
                </c:pt>
                <c:pt idx="115">
                  <c:v>40.4</c:v>
                </c:pt>
                <c:pt idx="116">
                  <c:v>40.46</c:v>
                </c:pt>
                <c:pt idx="117">
                  <c:v>40.46</c:v>
                </c:pt>
                <c:pt idx="118">
                  <c:v>40.5</c:v>
                </c:pt>
                <c:pt idx="119">
                  <c:v>40.78</c:v>
                </c:pt>
                <c:pt idx="120">
                  <c:v>40.72</c:v>
                </c:pt>
                <c:pt idx="121">
                  <c:v>40.78</c:v>
                </c:pt>
                <c:pt idx="122">
                  <c:v>40.880000000000003</c:v>
                </c:pt>
                <c:pt idx="123">
                  <c:v>40.96</c:v>
                </c:pt>
                <c:pt idx="124">
                  <c:v>40.880000000000003</c:v>
                </c:pt>
                <c:pt idx="125">
                  <c:v>40.880000000000003</c:v>
                </c:pt>
                <c:pt idx="126">
                  <c:v>40.880000000000003</c:v>
                </c:pt>
                <c:pt idx="127">
                  <c:v>40.92</c:v>
                </c:pt>
                <c:pt idx="128">
                  <c:v>40.92</c:v>
                </c:pt>
                <c:pt idx="129">
                  <c:v>40.880000000000003</c:v>
                </c:pt>
                <c:pt idx="130">
                  <c:v>40.9</c:v>
                </c:pt>
                <c:pt idx="131">
                  <c:v>40.92</c:v>
                </c:pt>
                <c:pt idx="132">
                  <c:v>40.86</c:v>
                </c:pt>
                <c:pt idx="133">
                  <c:v>40.86</c:v>
                </c:pt>
                <c:pt idx="134">
                  <c:v>40.840000000000003</c:v>
                </c:pt>
                <c:pt idx="135">
                  <c:v>40.880000000000003</c:v>
                </c:pt>
                <c:pt idx="136">
                  <c:v>40.86</c:v>
                </c:pt>
                <c:pt idx="137">
                  <c:v>40.880000000000003</c:v>
                </c:pt>
                <c:pt idx="138">
                  <c:v>41</c:v>
                </c:pt>
                <c:pt idx="139">
                  <c:v>41.1</c:v>
                </c:pt>
                <c:pt idx="140">
                  <c:v>40.74</c:v>
                </c:pt>
                <c:pt idx="141">
                  <c:v>40.82</c:v>
                </c:pt>
                <c:pt idx="142">
                  <c:v>40.86</c:v>
                </c:pt>
                <c:pt idx="143">
                  <c:v>40.96</c:v>
                </c:pt>
                <c:pt idx="144">
                  <c:v>40.9</c:v>
                </c:pt>
                <c:pt idx="145">
                  <c:v>40.86</c:v>
                </c:pt>
                <c:pt idx="146">
                  <c:v>40.9</c:v>
                </c:pt>
                <c:pt idx="147">
                  <c:v>40.98</c:v>
                </c:pt>
                <c:pt idx="148">
                  <c:v>40.98</c:v>
                </c:pt>
                <c:pt idx="149">
                  <c:v>41.1</c:v>
                </c:pt>
                <c:pt idx="150">
                  <c:v>41.1</c:v>
                </c:pt>
                <c:pt idx="151">
                  <c:v>40.98</c:v>
                </c:pt>
                <c:pt idx="152">
                  <c:v>41.04</c:v>
                </c:pt>
                <c:pt idx="153">
                  <c:v>41.02</c:v>
                </c:pt>
                <c:pt idx="154">
                  <c:v>41.02</c:v>
                </c:pt>
                <c:pt idx="155">
                  <c:v>41.04</c:v>
                </c:pt>
                <c:pt idx="156">
                  <c:v>41.02</c:v>
                </c:pt>
                <c:pt idx="157">
                  <c:v>41.02</c:v>
                </c:pt>
                <c:pt idx="158">
                  <c:v>41.02</c:v>
                </c:pt>
                <c:pt idx="159">
                  <c:v>41.06</c:v>
                </c:pt>
                <c:pt idx="160">
                  <c:v>41.1</c:v>
                </c:pt>
                <c:pt idx="161">
                  <c:v>41.06</c:v>
                </c:pt>
                <c:pt idx="162">
                  <c:v>41.1</c:v>
                </c:pt>
                <c:pt idx="163">
                  <c:v>41.08</c:v>
                </c:pt>
                <c:pt idx="164">
                  <c:v>41.12</c:v>
                </c:pt>
                <c:pt idx="165">
                  <c:v>41.06</c:v>
                </c:pt>
                <c:pt idx="166">
                  <c:v>41.04</c:v>
                </c:pt>
                <c:pt idx="167">
                  <c:v>41.1</c:v>
                </c:pt>
                <c:pt idx="168">
                  <c:v>41.12</c:v>
                </c:pt>
                <c:pt idx="169">
                  <c:v>41.16</c:v>
                </c:pt>
                <c:pt idx="170">
                  <c:v>41.12</c:v>
                </c:pt>
                <c:pt idx="171">
                  <c:v>41.12</c:v>
                </c:pt>
                <c:pt idx="172">
                  <c:v>41.12</c:v>
                </c:pt>
                <c:pt idx="173">
                  <c:v>41.1</c:v>
                </c:pt>
                <c:pt idx="174">
                  <c:v>41.06</c:v>
                </c:pt>
                <c:pt idx="175">
                  <c:v>41.08</c:v>
                </c:pt>
                <c:pt idx="176">
                  <c:v>41.08</c:v>
                </c:pt>
                <c:pt idx="177">
                  <c:v>41.1</c:v>
                </c:pt>
                <c:pt idx="178">
                  <c:v>41.32</c:v>
                </c:pt>
                <c:pt idx="179">
                  <c:v>41.34</c:v>
                </c:pt>
                <c:pt idx="180">
                  <c:v>41.32</c:v>
                </c:pt>
                <c:pt idx="181">
                  <c:v>41.34</c:v>
                </c:pt>
                <c:pt idx="182">
                  <c:v>41.36</c:v>
                </c:pt>
                <c:pt idx="183">
                  <c:v>41.42</c:v>
                </c:pt>
                <c:pt idx="184">
                  <c:v>41.42</c:v>
                </c:pt>
              </c:numCache>
            </c:numRef>
          </c:val>
          <c:smooth val="0"/>
          <c:extLst>
            <c:ext xmlns:c16="http://schemas.microsoft.com/office/drawing/2014/chart" uri="{C3380CC4-5D6E-409C-BE32-E72D297353CC}">
              <c16:uniqueId val="{00000000-5AD9-41DF-B465-1031DDA78C3B}"/>
            </c:ext>
          </c:extLst>
        </c:ser>
        <c:dLbls>
          <c:showLegendKey val="0"/>
          <c:showVal val="0"/>
          <c:showCatName val="0"/>
          <c:showSerName val="0"/>
          <c:showPercent val="0"/>
          <c:showBubbleSize val="0"/>
        </c:dLbls>
        <c:smooth val="0"/>
        <c:axId val="454025408"/>
        <c:axId val="454023488"/>
      </c:lineChart>
      <c:catAx>
        <c:axId val="454025408"/>
        <c:scaling>
          <c:orientation val="minMax"/>
        </c:scaling>
        <c:delete val="0"/>
        <c:axPos val="b"/>
        <c:numFmt formatCode="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54023488"/>
        <c:crosses val="autoZero"/>
        <c:auto val="1"/>
        <c:lblAlgn val="ctr"/>
        <c:lblOffset val="100"/>
        <c:tickLblSkip val="1"/>
        <c:noMultiLvlLbl val="1"/>
      </c:catAx>
      <c:valAx>
        <c:axId val="4540234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54025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Graphs!$R$17</c:f>
              <c:strCache>
                <c:ptCount val="1"/>
                <c:pt idx="0">
                  <c:v>EV/EBITDA (x)</c:v>
                </c:pt>
              </c:strCache>
            </c:strRef>
          </c:tx>
          <c:spPr>
            <a:solidFill>
              <a:schemeClr val="accent1"/>
            </a:solidFill>
            <a:ln>
              <a:noFill/>
            </a:ln>
            <a:effectLst>
              <a:innerShdw blurRad="63500" dist="50800" dir="13500000">
                <a:prstClr val="black">
                  <a:alpha val="50000"/>
                </a:prstClr>
              </a:innerShdw>
            </a:effectLst>
            <a:sp3d/>
          </c:spPr>
          <c:invertIfNegative val="0"/>
          <c:dPt>
            <c:idx val="0"/>
            <c:invertIfNegative val="0"/>
            <c:bubble3D val="0"/>
            <c:spPr>
              <a:solidFill>
                <a:srgbClr val="7030A0"/>
              </a:solidFill>
              <a:ln>
                <a:noFill/>
              </a:ln>
              <a:effectLst>
                <a:innerShdw blurRad="63500" dist="50800" dir="13500000">
                  <a:prstClr val="black">
                    <a:alpha val="50000"/>
                  </a:prstClr>
                </a:innerShdw>
              </a:effectLst>
              <a:sp3d/>
            </c:spPr>
            <c:extLst>
              <c:ext xmlns:c16="http://schemas.microsoft.com/office/drawing/2014/chart" uri="{C3380CC4-5D6E-409C-BE32-E72D297353CC}">
                <c16:uniqueId val="{00000002-C111-4BC6-918E-1F1B9131B4FF}"/>
              </c:ext>
            </c:extLst>
          </c:dPt>
          <c:dPt>
            <c:idx val="1"/>
            <c:invertIfNegative val="0"/>
            <c:bubble3D val="0"/>
            <c:spPr>
              <a:solidFill>
                <a:srgbClr val="E806CB"/>
              </a:solidFill>
              <a:ln>
                <a:noFill/>
              </a:ln>
              <a:effectLst>
                <a:innerShdw blurRad="63500" dist="50800" dir="13500000">
                  <a:prstClr val="black">
                    <a:alpha val="50000"/>
                  </a:prstClr>
                </a:innerShdw>
              </a:effectLst>
              <a:sp3d/>
            </c:spPr>
            <c:extLst>
              <c:ext xmlns:c16="http://schemas.microsoft.com/office/drawing/2014/chart" uri="{C3380CC4-5D6E-409C-BE32-E72D297353CC}">
                <c16:uniqueId val="{00000004-C111-4BC6-918E-1F1B9131B4FF}"/>
              </c:ext>
            </c:extLst>
          </c:dPt>
          <c:dPt>
            <c:idx val="2"/>
            <c:invertIfNegative val="0"/>
            <c:bubble3D val="0"/>
            <c:spPr>
              <a:solidFill>
                <a:srgbClr val="EB33CC"/>
              </a:solidFill>
              <a:ln>
                <a:noFill/>
              </a:ln>
              <a:effectLst>
                <a:innerShdw blurRad="63500" dist="50800" dir="13500000">
                  <a:prstClr val="black">
                    <a:alpha val="50000"/>
                  </a:prstClr>
                </a:innerShdw>
              </a:effectLst>
              <a:sp3d/>
            </c:spPr>
            <c:extLst>
              <c:ext xmlns:c16="http://schemas.microsoft.com/office/drawing/2014/chart" uri="{C3380CC4-5D6E-409C-BE32-E72D297353CC}">
                <c16:uniqueId val="{00000005-C111-4BC6-918E-1F1B9131B4FF}"/>
              </c:ext>
            </c:extLst>
          </c:dPt>
          <c:dPt>
            <c:idx val="3"/>
            <c:invertIfNegative val="0"/>
            <c:bubble3D val="0"/>
            <c:spPr>
              <a:solidFill>
                <a:srgbClr val="EB33CC"/>
              </a:solidFill>
              <a:ln>
                <a:noFill/>
              </a:ln>
              <a:effectLst>
                <a:innerShdw blurRad="63500" dist="50800" dir="13500000">
                  <a:prstClr val="black">
                    <a:alpha val="50000"/>
                  </a:prstClr>
                </a:innerShdw>
              </a:effectLst>
              <a:sp3d/>
            </c:spPr>
            <c:extLst>
              <c:ext xmlns:c16="http://schemas.microsoft.com/office/drawing/2014/chart" uri="{C3380CC4-5D6E-409C-BE32-E72D297353CC}">
                <c16:uniqueId val="{00000003-C111-4BC6-918E-1F1B9131B4FF}"/>
              </c:ext>
            </c:extLst>
          </c:dPt>
          <c:dPt>
            <c:idx val="4"/>
            <c:invertIfNegative val="0"/>
            <c:bubble3D val="0"/>
            <c:spPr>
              <a:solidFill>
                <a:srgbClr val="7030A0"/>
              </a:solidFill>
              <a:ln>
                <a:noFill/>
              </a:ln>
              <a:effectLst>
                <a:innerShdw blurRad="63500" dist="50800" dir="13500000">
                  <a:prstClr val="black">
                    <a:alpha val="50000"/>
                  </a:prstClr>
                </a:innerShdw>
              </a:effectLst>
              <a:sp3d/>
            </c:spPr>
            <c:extLst>
              <c:ext xmlns:c16="http://schemas.microsoft.com/office/drawing/2014/chart" uri="{C3380CC4-5D6E-409C-BE32-E72D297353CC}">
                <c16:uniqueId val="{00000006-C111-4BC6-918E-1F1B9131B4FF}"/>
              </c:ext>
            </c:extLst>
          </c:dPt>
          <c:dLbls>
            <c:dLbl>
              <c:idx val="4"/>
              <c:layout>
                <c:manualLayout>
                  <c:x val="0"/>
                  <c:y val="3.2167265729222752E-3"/>
                </c:manualLayout>
              </c:layout>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C111-4BC6-918E-1F1B9131B4FF}"/>
                </c:ext>
              </c:extLst>
            </c:dLbl>
            <c:numFmt formatCode="_(0.0\x_);\(0.0\x\);&quot;-&quot;" sourceLinked="0"/>
            <c:spPr>
              <a:noFill/>
              <a:ln>
                <a:noFill/>
              </a:ln>
              <a:effectLst/>
            </c:spPr>
            <c:txPr>
              <a:bodyPr rot="0" spcFirstLastPara="1" vertOverflow="overflow" horzOverflow="overflow" vert="horz" wrap="square" lIns="38100" tIns="19050" rIns="38100" bIns="19050" anchor="t" anchorCtr="1">
                <a:spAutoFit/>
              </a:bodyPr>
              <a:lstStyle/>
              <a:p>
                <a:pPr>
                  <a:defRPr sz="900" b="0" i="0" u="none" strike="noStrike" kern="1200" baseline="0">
                    <a:solidFill>
                      <a:srgbClr val="FF0000"/>
                    </a:solidFill>
                    <a:effectLst>
                      <a:outerShdw blurRad="50800" dist="38100" dir="5400000" algn="t" rotWithShape="0">
                        <a:schemeClr val="tx1">
                          <a:alpha val="40000"/>
                        </a:schemeClr>
                      </a:outerShdw>
                    </a:effectLst>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cat>
            <c:strRef>
              <c:f>Graphs!$Q$18:$Q$22</c:f>
              <c:strCache>
                <c:ptCount val="5"/>
                <c:pt idx="0">
                  <c:v>Spectris pre‑approach(implied)</c:v>
                </c:pt>
                <c:pt idx="1">
                  <c:v>Sector median (Industrial tech)</c:v>
                </c:pt>
                <c:pt idx="2">
                  <c:v>Danaher (tools &amp; diagnostics peer)</c:v>
                </c:pt>
                <c:pt idx="3">
                  <c:v>Teledyne (test &amp; measurement peer)</c:v>
                </c:pt>
                <c:pt idx="4">
                  <c:v>KKR x Spectris Entry Multiple</c:v>
                </c:pt>
              </c:strCache>
            </c:strRef>
          </c:cat>
          <c:val>
            <c:numRef>
              <c:f>Graphs!$R$18:$R$22</c:f>
              <c:numCache>
                <c:formatCode>General</c:formatCode>
                <c:ptCount val="5"/>
                <c:pt idx="0">
                  <c:v>12</c:v>
                </c:pt>
                <c:pt idx="1">
                  <c:v>14.2</c:v>
                </c:pt>
                <c:pt idx="2">
                  <c:v>16.2</c:v>
                </c:pt>
                <c:pt idx="3">
                  <c:v>18.7</c:v>
                </c:pt>
                <c:pt idx="4">
                  <c:v>19.5</c:v>
                </c:pt>
              </c:numCache>
            </c:numRef>
          </c:val>
          <c:extLst>
            <c:ext xmlns:c16="http://schemas.microsoft.com/office/drawing/2014/chart" uri="{C3380CC4-5D6E-409C-BE32-E72D297353CC}">
              <c16:uniqueId val="{00000000-C111-4BC6-918E-1F1B9131B4FF}"/>
            </c:ext>
          </c:extLst>
        </c:ser>
        <c:dLbls>
          <c:showLegendKey val="0"/>
          <c:showVal val="1"/>
          <c:showCatName val="0"/>
          <c:showSerName val="0"/>
          <c:showPercent val="0"/>
          <c:showBubbleSize val="0"/>
        </c:dLbls>
        <c:gapWidth val="160"/>
        <c:gapDepth val="0"/>
        <c:shape val="box"/>
        <c:axId val="842743736"/>
        <c:axId val="842747336"/>
        <c:axId val="0"/>
      </c:bar3DChart>
      <c:catAx>
        <c:axId val="842743736"/>
        <c:scaling>
          <c:orientation val="minMax"/>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1" u="none" strike="noStrike" kern="1200" cap="none" spc="0" normalizeH="0" baseline="0">
                <a:ln>
                  <a:noFill/>
                </a:ln>
                <a:solidFill>
                  <a:srgbClr val="002060"/>
                </a:solidFill>
                <a:latin typeface="+mn-lt"/>
                <a:ea typeface="+mn-ea"/>
                <a:cs typeface="+mn-cs"/>
              </a:defRPr>
            </a:pPr>
            <a:endParaRPr lang="en-US"/>
          </a:p>
        </c:txPr>
        <c:crossAx val="842747336"/>
        <c:crosses val="autoZero"/>
        <c:auto val="1"/>
        <c:lblAlgn val="ctr"/>
        <c:lblOffset val="100"/>
        <c:noMultiLvlLbl val="0"/>
      </c:catAx>
      <c:valAx>
        <c:axId val="842747336"/>
        <c:scaling>
          <c:orientation val="minMax"/>
        </c:scaling>
        <c:delete val="1"/>
        <c:axPos val="b"/>
        <c:numFmt formatCode="General" sourceLinked="1"/>
        <c:majorTickMark val="out"/>
        <c:minorTickMark val="none"/>
        <c:tickLblPos val="nextTo"/>
        <c:crossAx val="8427437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1" i="0" u="none" strike="noStrike" baseline="0">
                <a:solidFill>
                  <a:srgbClr val="7030A0"/>
                </a:solidFill>
                <a:effectLst/>
              </a:rPr>
              <a:t>Restructuring Costs Today vs Savings and Programme Target</a:t>
            </a:r>
            <a:endParaRPr lang="en-GB" b="1">
              <a:solidFill>
                <a:srgbClr val="7030A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tx>
            <c:strRef>
              <c:f>Graphs!$N$59</c:f>
              <c:strCache>
                <c:ptCount val="1"/>
                <c:pt idx="0">
                  <c:v>2024 restructuring charges</c:v>
                </c:pt>
              </c:strCache>
            </c:strRef>
          </c:tx>
          <c:spPr>
            <a:solidFill>
              <a:schemeClr val="accent1"/>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rgbClr val="FF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Graphs!$O$58</c:f>
              <c:strCache>
                <c:ptCount val="1"/>
                <c:pt idx="0">
                  <c:v>Value</c:v>
                </c:pt>
              </c:strCache>
            </c:strRef>
          </c:cat>
          <c:val>
            <c:numRef>
              <c:f>Graphs!$O$59</c:f>
              <c:numCache>
                <c:formatCode>General</c:formatCode>
                <c:ptCount val="1"/>
                <c:pt idx="0">
                  <c:v>18.3</c:v>
                </c:pt>
              </c:numCache>
            </c:numRef>
          </c:val>
          <c:extLst>
            <c:ext xmlns:c16="http://schemas.microsoft.com/office/drawing/2014/chart" uri="{C3380CC4-5D6E-409C-BE32-E72D297353CC}">
              <c16:uniqueId val="{00000000-B29B-464B-A2A6-601E73ED71CC}"/>
            </c:ext>
          </c:extLst>
        </c:ser>
        <c:ser>
          <c:idx val="1"/>
          <c:order val="1"/>
          <c:tx>
            <c:strRef>
              <c:f>Graphs!$N$60</c:f>
              <c:strCache>
                <c:ptCount val="1"/>
                <c:pt idx="0">
                  <c:v>2024 cost savings realised</c:v>
                </c:pt>
              </c:strCache>
            </c:strRef>
          </c:tx>
          <c:spPr>
            <a:solidFill>
              <a:schemeClr val="accent2"/>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rgbClr val="FF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Graphs!$O$58</c:f>
              <c:strCache>
                <c:ptCount val="1"/>
                <c:pt idx="0">
                  <c:v>Value</c:v>
                </c:pt>
              </c:strCache>
            </c:strRef>
          </c:cat>
          <c:val>
            <c:numRef>
              <c:f>Graphs!$O$60</c:f>
              <c:numCache>
                <c:formatCode>General</c:formatCode>
                <c:ptCount val="1"/>
                <c:pt idx="0">
                  <c:v>10</c:v>
                </c:pt>
              </c:numCache>
            </c:numRef>
          </c:val>
          <c:extLst>
            <c:ext xmlns:c16="http://schemas.microsoft.com/office/drawing/2014/chart" uri="{C3380CC4-5D6E-409C-BE32-E72D297353CC}">
              <c16:uniqueId val="{00000001-B29B-464B-A2A6-601E73ED71CC}"/>
            </c:ext>
          </c:extLst>
        </c:ser>
        <c:ser>
          <c:idx val="2"/>
          <c:order val="2"/>
          <c:tx>
            <c:strRef>
              <c:f>Graphs!$N$61</c:f>
              <c:strCache>
                <c:ptCount val="1"/>
                <c:pt idx="0">
                  <c:v>Total programme target (PIP)</c:v>
                </c:pt>
              </c:strCache>
            </c:strRef>
          </c:tx>
          <c:spPr>
            <a:solidFill>
              <a:schemeClr val="accent3"/>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rgbClr val="FF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Graphs!$O$58</c:f>
              <c:strCache>
                <c:ptCount val="1"/>
                <c:pt idx="0">
                  <c:v>Value</c:v>
                </c:pt>
              </c:strCache>
            </c:strRef>
          </c:cat>
          <c:val>
            <c:numRef>
              <c:f>Graphs!$O$61</c:f>
              <c:numCache>
                <c:formatCode>General</c:formatCode>
                <c:ptCount val="1"/>
                <c:pt idx="0">
                  <c:v>50</c:v>
                </c:pt>
              </c:numCache>
            </c:numRef>
          </c:val>
          <c:extLst>
            <c:ext xmlns:c16="http://schemas.microsoft.com/office/drawing/2014/chart" uri="{C3380CC4-5D6E-409C-BE32-E72D297353CC}">
              <c16:uniqueId val="{00000002-B29B-464B-A2A6-601E73ED71CC}"/>
            </c:ext>
          </c:extLst>
        </c:ser>
        <c:dLbls>
          <c:showLegendKey val="0"/>
          <c:showVal val="0"/>
          <c:showCatName val="0"/>
          <c:showSerName val="0"/>
          <c:showPercent val="0"/>
          <c:showBubbleSize val="0"/>
        </c:dLbls>
        <c:gapWidth val="150"/>
        <c:shape val="box"/>
        <c:axId val="406555840"/>
        <c:axId val="406552600"/>
        <c:axId val="0"/>
      </c:bar3DChart>
      <c:catAx>
        <c:axId val="406555840"/>
        <c:scaling>
          <c:orientation val="minMax"/>
        </c:scaling>
        <c:delete val="1"/>
        <c:axPos val="l"/>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crossAx val="406552600"/>
        <c:crosses val="autoZero"/>
        <c:auto val="1"/>
        <c:lblAlgn val="ctr"/>
        <c:lblOffset val="100"/>
        <c:noMultiLvlLbl val="0"/>
      </c:catAx>
      <c:valAx>
        <c:axId val="406552600"/>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6555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995916263725722"/>
          <c:y val="7.4505303904845596E-2"/>
          <c:w val="0.60429917796356869"/>
          <c:h val="0.89344498239689407"/>
        </c:manualLayout>
      </c:layout>
      <c:radarChart>
        <c:radarStyle val="filled"/>
        <c:varyColors val="0"/>
        <c:ser>
          <c:idx val="0"/>
          <c:order val="0"/>
          <c:spPr>
            <a:solidFill>
              <a:srgbClr val="7030A0">
                <a:alpha val="64000"/>
              </a:srgbClr>
            </a:solidFill>
            <a:ln>
              <a:noFill/>
              <a:prstDash val="dash"/>
            </a:ln>
            <a:effectLst/>
          </c:spP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Graphs!$Q$6:$U$6</c:f>
              <c:strCache>
                <c:ptCount val="5"/>
                <c:pt idx="0">
                  <c:v>Rivalry</c:v>
                </c:pt>
                <c:pt idx="1">
                  <c:v>New Entrants</c:v>
                </c:pt>
                <c:pt idx="2">
                  <c:v>Buyer Power</c:v>
                </c:pt>
                <c:pt idx="3">
                  <c:v>Supplier Power</c:v>
                </c:pt>
                <c:pt idx="4">
                  <c:v>Substitutes</c:v>
                </c:pt>
              </c:strCache>
            </c:strRef>
          </c:cat>
          <c:val>
            <c:numRef>
              <c:f>Graphs!$Q$7:$U$7</c:f>
              <c:numCache>
                <c:formatCode>General</c:formatCode>
                <c:ptCount val="5"/>
                <c:pt idx="0">
                  <c:v>8</c:v>
                </c:pt>
                <c:pt idx="1">
                  <c:v>2</c:v>
                </c:pt>
                <c:pt idx="2">
                  <c:v>5</c:v>
                </c:pt>
                <c:pt idx="3">
                  <c:v>6</c:v>
                </c:pt>
                <c:pt idx="4">
                  <c:v>3</c:v>
                </c:pt>
              </c:numCache>
            </c:numRef>
          </c:val>
          <c:extLst>
            <c:ext xmlns:c16="http://schemas.microsoft.com/office/drawing/2014/chart" uri="{C3380CC4-5D6E-409C-BE32-E72D297353CC}">
              <c16:uniqueId val="{00000000-1EBB-4DB1-BA75-17CF8EFA70D8}"/>
            </c:ext>
          </c:extLst>
        </c:ser>
        <c:dLbls>
          <c:showLegendKey val="0"/>
          <c:showVal val="1"/>
          <c:showCatName val="0"/>
          <c:showSerName val="0"/>
          <c:showPercent val="0"/>
          <c:showBubbleSize val="0"/>
        </c:dLbls>
        <c:axId val="1029495352"/>
        <c:axId val="1029488872"/>
      </c:radarChart>
      <c:catAx>
        <c:axId val="1029495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cap="all" baseline="0">
                <a:solidFill>
                  <a:schemeClr val="tx1"/>
                </a:solidFill>
                <a:latin typeface="Aptos Display" panose="020B0004020202020204" pitchFamily="34" charset="0"/>
                <a:ea typeface="+mn-ea"/>
                <a:cs typeface="+mn-cs"/>
              </a:defRPr>
            </a:pPr>
            <a:endParaRPr lang="en-US"/>
          </a:p>
        </c:txPr>
        <c:crossAx val="1029488872"/>
        <c:crosses val="autoZero"/>
        <c:auto val="1"/>
        <c:lblAlgn val="ctr"/>
        <c:lblOffset val="100"/>
        <c:noMultiLvlLbl val="0"/>
      </c:catAx>
      <c:valAx>
        <c:axId val="1029488872"/>
        <c:scaling>
          <c:orientation val="minMax"/>
          <c:max val="10"/>
        </c:scaling>
        <c:delete val="0"/>
        <c:axPos val="l"/>
        <c:majorGridlines>
          <c:spPr>
            <a:ln w="9525" cap="sq" cmpd="sng" algn="ctr">
              <a:solidFill>
                <a:schemeClr val="accent5">
                  <a:lumMod val="50000"/>
                </a:schemeClr>
              </a:solidFill>
              <a:prstDash val="solid"/>
              <a:round/>
              <a:headEnd type="none"/>
            </a:ln>
            <a:effectLst>
              <a:outerShdw blurRad="50800" dist="38100" dir="2700000" algn="tl" rotWithShape="0">
                <a:prstClr val="black">
                  <a:alpha val="40000"/>
                </a:prstClr>
              </a:outerShdw>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029495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tx>
            <c:strRef>
              <c:f>Graphs!$X$17</c:f>
              <c:strCache>
                <c:ptCount val="1"/>
                <c:pt idx="0">
                  <c:v>% of Revenue</c:v>
                </c:pt>
              </c:strCache>
            </c:strRef>
          </c:tx>
          <c:spPr>
            <a:solidFill>
              <a:schemeClr val="accent1"/>
            </a:solidFill>
            <a:ln>
              <a:noFill/>
            </a:ln>
            <a:effectLst/>
            <a:sp3d/>
          </c:spPr>
          <c:invertIfNegative val="0"/>
          <c:dPt>
            <c:idx val="0"/>
            <c:invertIfNegative val="0"/>
            <c:bubble3D val="0"/>
            <c:spPr>
              <a:solidFill>
                <a:schemeClr val="accent5">
                  <a:lumMod val="75000"/>
                </a:schemeClr>
              </a:solidFill>
              <a:ln>
                <a:noFill/>
              </a:ln>
              <a:effectLst/>
              <a:sp3d/>
            </c:spPr>
            <c:extLst>
              <c:ext xmlns:c16="http://schemas.microsoft.com/office/drawing/2014/chart" uri="{C3380CC4-5D6E-409C-BE32-E72D297353CC}">
                <c16:uniqueId val="{00000003-A831-49ED-AFB4-E944609A61FC}"/>
              </c:ext>
            </c:extLst>
          </c:dPt>
          <c:dPt>
            <c:idx val="1"/>
            <c:invertIfNegative val="0"/>
            <c:bubble3D val="0"/>
            <c:spPr>
              <a:solidFill>
                <a:srgbClr val="7030A0"/>
              </a:solidFill>
              <a:ln>
                <a:noFill/>
              </a:ln>
              <a:effectLst/>
              <a:sp3d/>
            </c:spPr>
            <c:extLst>
              <c:ext xmlns:c16="http://schemas.microsoft.com/office/drawing/2014/chart" uri="{C3380CC4-5D6E-409C-BE32-E72D297353CC}">
                <c16:uniqueId val="{00000002-A831-49ED-AFB4-E944609A61FC}"/>
              </c:ext>
            </c:extLst>
          </c:dPt>
          <c:dPt>
            <c:idx val="2"/>
            <c:invertIfNegative val="0"/>
            <c:bubble3D val="0"/>
            <c:spPr>
              <a:solidFill>
                <a:srgbClr val="FF66FF"/>
              </a:solidFill>
              <a:ln>
                <a:noFill/>
              </a:ln>
              <a:effectLst/>
              <a:sp3d/>
            </c:spPr>
            <c:extLst>
              <c:ext xmlns:c16="http://schemas.microsoft.com/office/drawing/2014/chart" uri="{C3380CC4-5D6E-409C-BE32-E72D297353CC}">
                <c16:uniqueId val="{00000001-A831-49ED-AFB4-E944609A61FC}"/>
              </c:ext>
            </c:extLst>
          </c:dPt>
          <c:dLbls>
            <c:dLbl>
              <c:idx val="0"/>
              <c:tx>
                <c:rich>
                  <a:bodyPr/>
                  <a:lstStyle/>
                  <a:p>
                    <a:fld id="{A273F684-36B6-4B6D-A87B-78CDB4830440}" type="VALUE">
                      <a:rPr lang="en-US"/>
                      <a:pPr/>
                      <a:t>[VALUE]</a:t>
                    </a:fld>
                    <a:r>
                      <a:rPr lang="en-US"/>
                      <a:t>%</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831-49ED-AFB4-E944609A61FC}"/>
                </c:ext>
              </c:extLst>
            </c:dLbl>
            <c:dLbl>
              <c:idx val="1"/>
              <c:tx>
                <c:rich>
                  <a:bodyPr/>
                  <a:lstStyle/>
                  <a:p>
                    <a:fld id="{22D916C6-8358-4442-BF73-46801B544A4C}" type="VALUE">
                      <a:rPr lang="en-US"/>
                      <a:pPr/>
                      <a:t>[VALUE]</a:t>
                    </a:fld>
                    <a:r>
                      <a:rPr lang="en-US"/>
                      <a:t>%</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831-49ED-AFB4-E944609A61FC}"/>
                </c:ext>
              </c:extLst>
            </c:dLbl>
            <c:dLbl>
              <c:idx val="2"/>
              <c:tx>
                <c:rich>
                  <a:bodyPr/>
                  <a:lstStyle/>
                  <a:p>
                    <a:fld id="{6CE1751B-C05A-4CBD-973B-A8D0256505CB}" type="VALUE">
                      <a:rPr lang="en-US"/>
                      <a:pPr/>
                      <a:t>[VALUE]</a:t>
                    </a:fld>
                    <a:r>
                      <a:rPr lang="en-US"/>
                      <a:t>%</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831-49ED-AFB4-E944609A61FC}"/>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FF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Graphs!$W$18:$W$20</c:f>
              <c:strCache>
                <c:ptCount val="3"/>
                <c:pt idx="0">
                  <c:v>Equipment Sales</c:v>
                </c:pt>
                <c:pt idx="1">
                  <c:v>Aftermarket Services</c:v>
                </c:pt>
                <c:pt idx="2">
                  <c:v>Software &amp; Analytics</c:v>
                </c:pt>
              </c:strCache>
            </c:strRef>
          </c:cat>
          <c:val>
            <c:numRef>
              <c:f>Graphs!$X$18:$X$20</c:f>
              <c:numCache>
                <c:formatCode>0.00%</c:formatCode>
                <c:ptCount val="3"/>
                <c:pt idx="0">
                  <c:v>0.65</c:v>
                </c:pt>
                <c:pt idx="1">
                  <c:v>0.25</c:v>
                </c:pt>
                <c:pt idx="2">
                  <c:v>0.1</c:v>
                </c:pt>
              </c:numCache>
            </c:numRef>
          </c:val>
          <c:extLst>
            <c:ext xmlns:c16="http://schemas.microsoft.com/office/drawing/2014/chart" uri="{C3380CC4-5D6E-409C-BE32-E72D297353CC}">
              <c16:uniqueId val="{00000000-A831-49ED-AFB4-E944609A61FC}"/>
            </c:ext>
          </c:extLst>
        </c:ser>
        <c:dLbls>
          <c:showLegendKey val="0"/>
          <c:showVal val="0"/>
          <c:showCatName val="0"/>
          <c:showSerName val="0"/>
          <c:showPercent val="0"/>
          <c:showBubbleSize val="0"/>
        </c:dLbls>
        <c:gapWidth val="150"/>
        <c:shape val="box"/>
        <c:axId val="1158477704"/>
        <c:axId val="1158478064"/>
        <c:axId val="0"/>
      </c:bar3DChart>
      <c:catAx>
        <c:axId val="115847770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cap="all" baseline="0">
                <a:solidFill>
                  <a:schemeClr val="tx1"/>
                </a:solidFill>
                <a:latin typeface="Aptos Display" panose="020B0004020202020204" pitchFamily="34" charset="0"/>
                <a:ea typeface="+mn-ea"/>
                <a:cs typeface="+mn-cs"/>
              </a:defRPr>
            </a:pPr>
            <a:endParaRPr lang="en-US"/>
          </a:p>
        </c:txPr>
        <c:crossAx val="1158478064"/>
        <c:crosses val="autoZero"/>
        <c:auto val="1"/>
        <c:lblAlgn val="ctr"/>
        <c:lblOffset val="100"/>
        <c:noMultiLvlLbl val="0"/>
      </c:catAx>
      <c:valAx>
        <c:axId val="115847806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Aptos Display" panose="020B0004020202020204" pitchFamily="34" charset="0"/>
                <a:ea typeface="+mn-ea"/>
                <a:cs typeface="+mn-cs"/>
              </a:defRPr>
            </a:pPr>
            <a:endParaRPr lang="en-US"/>
          </a:p>
        </c:txPr>
        <c:crossAx val="1158477704"/>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614228054537868"/>
          <c:y val="0.10440485706651047"/>
          <c:w val="0.64055358701143328"/>
          <c:h val="0.72282872021904077"/>
        </c:manualLayout>
      </c:layout>
      <c:pieChart>
        <c:varyColors val="1"/>
        <c:ser>
          <c:idx val="0"/>
          <c:order val="0"/>
          <c:dPt>
            <c:idx val="0"/>
            <c:bubble3D val="0"/>
            <c:spPr>
              <a:solidFill>
                <a:srgbClr val="7030A0"/>
              </a:solidFill>
              <a:ln w="19050">
                <a:solidFill>
                  <a:schemeClr val="lt1"/>
                </a:solidFill>
              </a:ln>
              <a:effectLst/>
            </c:spPr>
            <c:extLst>
              <c:ext xmlns:c16="http://schemas.microsoft.com/office/drawing/2014/chart" uri="{C3380CC4-5D6E-409C-BE32-E72D297353CC}">
                <c16:uniqueId val="{00000001-1BBB-4D9E-9CCE-93FF8F2E0638}"/>
              </c:ext>
            </c:extLst>
          </c:dPt>
          <c:dPt>
            <c:idx val="1"/>
            <c:bubble3D val="0"/>
            <c:spPr>
              <a:solidFill>
                <a:srgbClr val="FF99FF"/>
              </a:solidFill>
              <a:ln w="19050">
                <a:solidFill>
                  <a:schemeClr val="lt1"/>
                </a:solidFill>
              </a:ln>
              <a:effectLst/>
            </c:spPr>
            <c:extLst>
              <c:ext xmlns:c16="http://schemas.microsoft.com/office/drawing/2014/chart" uri="{C3380CC4-5D6E-409C-BE32-E72D297353CC}">
                <c16:uniqueId val="{00000003-1BBB-4D9E-9CCE-93FF8F2E0638}"/>
              </c:ext>
            </c:extLst>
          </c:dPt>
          <c:dPt>
            <c:idx val="2"/>
            <c:bubble3D val="0"/>
            <c:spPr>
              <a:solidFill>
                <a:srgbClr val="FF00FF"/>
              </a:solidFill>
              <a:ln w="19050">
                <a:solidFill>
                  <a:schemeClr val="lt1"/>
                </a:solidFill>
              </a:ln>
              <a:effectLst/>
            </c:spPr>
            <c:extLst>
              <c:ext xmlns:c16="http://schemas.microsoft.com/office/drawing/2014/chart" uri="{C3380CC4-5D6E-409C-BE32-E72D297353CC}">
                <c16:uniqueId val="{00000005-1BBB-4D9E-9CCE-93FF8F2E0638}"/>
              </c:ext>
            </c:extLst>
          </c:dPt>
          <c:dLbls>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cap="none" normalizeH="0" baseline="0">
                      <a:solidFill>
                        <a:schemeClr val="bg1"/>
                      </a:solidFill>
                      <a:latin typeface="Aptos Display" panose="020B0004020202020204" pitchFamily="34" charset="0"/>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1-1BBB-4D9E-9CCE-93FF8F2E0638}"/>
                </c:ext>
              </c:extLst>
            </c:dLbl>
            <c:dLbl>
              <c:idx val="2"/>
              <c:spPr>
                <a:noFill/>
                <a:ln>
                  <a:noFill/>
                </a:ln>
                <a:effectLst/>
              </c:spPr>
              <c:txPr>
                <a:bodyPr rot="0" spcFirstLastPara="1" vertOverflow="ellipsis" vert="horz" wrap="square" lIns="38100" tIns="19050" rIns="38100" bIns="19050" anchor="ctr" anchorCtr="1">
                  <a:noAutofit/>
                </a:bodyPr>
                <a:lstStyle/>
                <a:p>
                  <a:pPr>
                    <a:defRPr sz="1100" b="1" i="0" u="none" strike="noStrike" kern="1200" cap="none" normalizeH="0" baseline="0">
                      <a:solidFill>
                        <a:schemeClr val="bg1"/>
                      </a:solidFill>
                      <a:latin typeface="Aptos Display" panose="020B00040202020202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0.18278251183924268"/>
                      <c:h val="0.12997450215593218"/>
                    </c:manualLayout>
                  </c15:layout>
                </c:ext>
                <c:ext xmlns:c16="http://schemas.microsoft.com/office/drawing/2014/chart" uri="{C3380CC4-5D6E-409C-BE32-E72D297353CC}">
                  <c16:uniqueId val="{00000005-1BBB-4D9E-9CCE-93FF8F2E06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'Spectris Raw Data '!$B$164:$B$166</c:f>
              <c:strCache>
                <c:ptCount val="3"/>
                <c:pt idx="0">
                  <c:v>Scientific</c:v>
                </c:pt>
                <c:pt idx="1">
                  <c:v>Red Lion</c:v>
                </c:pt>
                <c:pt idx="2">
                  <c:v>Dynamics</c:v>
                </c:pt>
              </c:strCache>
            </c:strRef>
          </c:cat>
          <c:val>
            <c:numRef>
              <c:f>'Spectris Raw Data '!$G$164:$G$166</c:f>
              <c:numCache>
                <c:formatCode>0.0%</c:formatCode>
                <c:ptCount val="3"/>
                <c:pt idx="0">
                  <c:v>0.59805959805959807</c:v>
                </c:pt>
                <c:pt idx="1">
                  <c:v>1.563101563101563E-2</c:v>
                </c:pt>
                <c:pt idx="2">
                  <c:v>0.38630938630938627</c:v>
                </c:pt>
              </c:numCache>
            </c:numRef>
          </c:val>
          <c:extLst>
            <c:ext xmlns:c16="http://schemas.microsoft.com/office/drawing/2014/chart" uri="{C3380CC4-5D6E-409C-BE32-E72D297353CC}">
              <c16:uniqueId val="{00000008-EFB5-4AD2-A818-20460FBDC947}"/>
            </c:ext>
          </c:extLst>
        </c:ser>
        <c:dLbls>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2.1363133337056733E-2"/>
          <c:y val="0.8527172349204819"/>
          <c:w val="0.60513633913013065"/>
          <c:h val="5.9144713492574476E-2"/>
        </c:manualLayout>
      </c:layout>
      <c:overlay val="0"/>
      <c:spPr>
        <a:noFill/>
        <a:ln>
          <a:noFill/>
        </a:ln>
        <a:effectLst/>
      </c:spPr>
      <c:txPr>
        <a:bodyPr rot="0" spcFirstLastPara="1" vertOverflow="ellipsis" vert="horz" wrap="square" anchor="ctr" anchorCtr="1"/>
        <a:lstStyle/>
        <a:p>
          <a:pPr>
            <a:defRPr sz="800" b="0" i="0" u="none" strike="noStrike" kern="1200" cap="all"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FF00FF"/>
              </a:solidFill>
              <a:ln w="19050">
                <a:solidFill>
                  <a:schemeClr val="lt1"/>
                </a:solidFill>
              </a:ln>
              <a:effectLst/>
            </c:spPr>
            <c:extLst>
              <c:ext xmlns:c16="http://schemas.microsoft.com/office/drawing/2014/chart" uri="{C3380CC4-5D6E-409C-BE32-E72D297353CC}">
                <c16:uniqueId val="{00000003-245E-469F-9608-DFDDB3B1E2A4}"/>
              </c:ext>
            </c:extLst>
          </c:dPt>
          <c:dPt>
            <c:idx val="1"/>
            <c:bubble3D val="0"/>
            <c:spPr>
              <a:solidFill>
                <a:srgbClr val="FF99FF"/>
              </a:solidFill>
              <a:ln w="19050">
                <a:solidFill>
                  <a:schemeClr val="lt1"/>
                </a:solidFill>
              </a:ln>
              <a:effectLst/>
            </c:spPr>
            <c:extLst>
              <c:ext xmlns:c16="http://schemas.microsoft.com/office/drawing/2014/chart" uri="{C3380CC4-5D6E-409C-BE32-E72D297353CC}">
                <c16:uniqueId val="{00000005-245E-469F-9608-DFDDB3B1E2A4}"/>
              </c:ext>
            </c:extLst>
          </c:dPt>
          <c:dPt>
            <c:idx val="2"/>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7-245E-469F-9608-DFDDB3B1E2A4}"/>
              </c:ext>
            </c:extLst>
          </c:dPt>
          <c:dPt>
            <c:idx val="3"/>
            <c:bubble3D val="0"/>
            <c:spPr>
              <a:solidFill>
                <a:srgbClr val="7030A0"/>
              </a:solidFill>
              <a:ln w="19050">
                <a:solidFill>
                  <a:schemeClr val="lt1"/>
                </a:solidFill>
              </a:ln>
              <a:effectLst/>
            </c:spPr>
            <c:extLst>
              <c:ext xmlns:c16="http://schemas.microsoft.com/office/drawing/2014/chart" uri="{C3380CC4-5D6E-409C-BE32-E72D297353CC}">
                <c16:uniqueId val="{00000009-245E-469F-9608-DFDDB3B1E2A4}"/>
              </c:ext>
            </c:extLst>
          </c:dPt>
          <c:dLbls>
            <c:dLbl>
              <c:idx val="0"/>
              <c:layout>
                <c:manualLayout>
                  <c:x val="0.11663961573216361"/>
                  <c:y val="-4.6831963737139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45E-469F-9608-DFDDB3B1E2A4}"/>
                </c:ext>
              </c:extLst>
            </c:dLbl>
            <c:dLbl>
              <c:idx val="1"/>
              <c:layout>
                <c:manualLayout>
                  <c:x val="9.3959690450909572E-2"/>
                  <c:y val="2.88196699920858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45E-469F-9608-DFDDB3B1E2A4}"/>
                </c:ext>
              </c:extLst>
            </c:dLbl>
            <c:dLbl>
              <c:idx val="2"/>
              <c:layout>
                <c:manualLayout>
                  <c:x val="-9.7199679776803063E-2"/>
                  <c:y val="8.28565512272470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45E-469F-9608-DFDDB3B1E2A4}"/>
                </c:ext>
              </c:extLst>
            </c:dLbl>
            <c:dLbl>
              <c:idx val="3"/>
              <c:layout>
                <c:manualLayout>
                  <c:x val="-9.7199679776803008E-2"/>
                  <c:y val="-6.12417987331826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45E-469F-9608-DFDDB3B1E2A4}"/>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Aptos Display" panose="020B0004020202020204" pitchFamily="34" charset="0"/>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'Spectris Raw Data '!$B$206:$B$209</c:f>
              <c:strCache>
                <c:ptCount val="4"/>
                <c:pt idx="0">
                  <c:v>North America</c:v>
                </c:pt>
                <c:pt idx="1">
                  <c:v>Rest of World</c:v>
                </c:pt>
                <c:pt idx="2">
                  <c:v>EU</c:v>
                </c:pt>
                <c:pt idx="3">
                  <c:v>Asia</c:v>
                </c:pt>
              </c:strCache>
            </c:strRef>
          </c:cat>
          <c:val>
            <c:numRef>
              <c:f>'Spectris Raw Data '!$G$206:$G$209</c:f>
              <c:numCache>
                <c:formatCode>0.0%</c:formatCode>
                <c:ptCount val="4"/>
                <c:pt idx="0">
                  <c:v>0.27295132470733208</c:v>
                </c:pt>
                <c:pt idx="1">
                  <c:v>4.6595810227972885E-2</c:v>
                </c:pt>
                <c:pt idx="2">
                  <c:v>0.31715958102279729</c:v>
                </c:pt>
                <c:pt idx="3">
                  <c:v>0.36329328404189765</c:v>
                </c:pt>
              </c:numCache>
            </c:numRef>
          </c:val>
          <c:extLst>
            <c:ext xmlns:c16="http://schemas.microsoft.com/office/drawing/2014/chart" uri="{C3380CC4-5D6E-409C-BE32-E72D297353CC}">
              <c16:uniqueId val="{00000008-245E-469F-9608-DFDDB3B1E2A4}"/>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cap="all" baseline="0">
              <a:solidFill>
                <a:schemeClr val="tx1"/>
              </a:solidFill>
              <a:latin typeface="Aptos Display" panose="020B0004020202020204" pitchFamily="34" charset="0"/>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0"/>
          <c:order val="10"/>
          <c:tx>
            <c:strRef>
              <c:f>'Outputs '!$B$53:$K$53</c:f>
              <c:strCache>
                <c:ptCount val="10"/>
                <c:pt idx="0">
                  <c:v>Total Debt/EBITDA</c:v>
                </c:pt>
              </c:strCache>
            </c:strRef>
          </c:tx>
          <c:spPr>
            <a:ln w="28575" cap="rnd">
              <a:solidFill>
                <a:srgbClr val="7030A0"/>
              </a:solidFill>
              <a:round/>
            </a:ln>
            <a:effectLst/>
          </c:spPr>
          <c:marker>
            <c:symbol val="circle"/>
            <c:size val="5"/>
            <c:spPr>
              <a:solidFill>
                <a:schemeClr val="bg1"/>
              </a:solidFill>
              <a:ln w="9525">
                <a:solidFill>
                  <a:schemeClr val="bg2">
                    <a:lumMod val="50000"/>
                  </a:schemeClr>
                </a:solidFill>
              </a:ln>
              <a:effectLst/>
            </c:spPr>
          </c:marker>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'!$L$53:$R$53</c:f>
              <c:numCache>
                <c:formatCode>_(0.0\x_);\(0.0\x\);"-"</c:formatCode>
                <c:ptCount val="7"/>
                <c:pt idx="0">
                  <c:v>2.3179566928204367</c:v>
                </c:pt>
                <c:pt idx="1">
                  <c:v>6.753913060691195</c:v>
                </c:pt>
                <c:pt idx="2">
                  <c:v>5.8575130552464332</c:v>
                </c:pt>
                <c:pt idx="3">
                  <c:v>4.9963712041931965</c:v>
                </c:pt>
                <c:pt idx="4">
                  <c:v>4.2014876743976837</c:v>
                </c:pt>
                <c:pt idx="5">
                  <c:v>3.4564075439097754</c:v>
                </c:pt>
                <c:pt idx="6">
                  <c:v>2.7620471177235757</c:v>
                </c:pt>
              </c:numCache>
            </c:numRef>
          </c:val>
          <c:smooth val="0"/>
          <c:extLst>
            <c:ext xmlns:c16="http://schemas.microsoft.com/office/drawing/2014/chart" uri="{C3380CC4-5D6E-409C-BE32-E72D297353CC}">
              <c16:uniqueId val="{00000012-249F-4602-90A6-343E936FBEBE}"/>
            </c:ext>
          </c:extLst>
        </c:ser>
        <c:dLbls>
          <c:showLegendKey val="0"/>
          <c:showVal val="0"/>
          <c:showCatName val="0"/>
          <c:showSerName val="0"/>
          <c:showPercent val="0"/>
          <c:showBubbleSize val="0"/>
        </c:dLbls>
        <c:marker val="1"/>
        <c:smooth val="0"/>
        <c:axId val="859714160"/>
        <c:axId val="859715120"/>
        <c:extLst>
          <c:ext xmlns:c15="http://schemas.microsoft.com/office/drawing/2012/chart" uri="{02D57815-91ED-43cb-92C2-25804820EDAC}">
            <c15:filteredLineSeries>
              <c15:ser>
                <c:idx val="0"/>
                <c:order val="0"/>
                <c:tx>
                  <c:strRef>
                    <c:extLst>
                      <c:ext uri="{02D57815-91ED-43cb-92C2-25804820EDAC}">
                        <c15:formulaRef>
                          <c15:sqref>'Outputs '!$B$40:$K$40</c15:sqref>
                        </c15:formulaRef>
                      </c:ext>
                    </c:extLst>
                    <c:strCache>
                      <c:ptCount val="10"/>
                      <c:pt idx="0">
                        <c:v>Financial Projections</c:v>
                      </c:pt>
                    </c:strCache>
                  </c:strRef>
                </c:tx>
                <c:spPr>
                  <a:ln w="28575" cap="rnd">
                    <a:solidFill>
                      <a:srgbClr val="7030A0"/>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c:ext uri="{02D57815-91ED-43cb-92C2-25804820EDAC}">
                        <c15:formulaRef>
                          <c15:sqref>'Outputs '!$L$40:$R$40</c15:sqref>
                        </c15:formulaRef>
                      </c:ext>
                    </c:extLst>
                    <c:numCache>
                      <c:formatCode>General</c:formatCode>
                      <c:ptCount val="7"/>
                    </c:numCache>
                  </c:numRef>
                </c:val>
                <c:smooth val="0"/>
                <c:extLst>
                  <c:ext xmlns:c16="http://schemas.microsoft.com/office/drawing/2014/chart" uri="{C3380CC4-5D6E-409C-BE32-E72D297353CC}">
                    <c16:uniqueId val="{00000003-249F-4602-90A6-343E936FBEBE}"/>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'Outputs '!$B$41:$K$41</c15:sqref>
                        </c15:formulaRef>
                      </c:ext>
                    </c:extLst>
                    <c:strCache>
                      <c:ptCount val="10"/>
                      <c:pt idx="0">
                        <c:v>EBITDA</c:v>
                      </c:pt>
                    </c:strCache>
                  </c:strRef>
                </c:tx>
                <c:spPr>
                  <a:ln w="28575" cap="rnd">
                    <a:solidFill>
                      <a:srgbClr val="EB33CC"/>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'!$L$41:$R$41</c15:sqref>
                        </c15:formulaRef>
                      </c:ext>
                    </c:extLst>
                    <c:numCache>
                      <c:formatCode>_(#,##0_);\(#,##0\);_("–"_);_(@_)</c:formatCode>
                      <c:ptCount val="7"/>
                      <c:pt idx="0">
                        <c:v>223.7736662420532</c:v>
                      </c:pt>
                      <c:pt idx="1">
                        <c:v>249.20657956483035</c:v>
                      </c:pt>
                      <c:pt idx="2">
                        <c:v>272.35789003494574</c:v>
                      </c:pt>
                      <c:pt idx="3">
                        <c:v>299.37997603380779</c:v>
                      </c:pt>
                      <c:pt idx="4">
                        <c:v>328.52297118931517</c:v>
                      </c:pt>
                      <c:pt idx="5">
                        <c:v>359.83743330859181</c:v>
                      </c:pt>
                      <c:pt idx="6">
                        <c:v>393.35905038784438</c:v>
                      </c:pt>
                    </c:numCache>
                  </c:numRef>
                </c:val>
                <c:smooth val="0"/>
                <c:extLst xmlns:c15="http://schemas.microsoft.com/office/drawing/2012/chart">
                  <c:ext xmlns:c16="http://schemas.microsoft.com/office/drawing/2014/chart" uri="{C3380CC4-5D6E-409C-BE32-E72D297353CC}">
                    <c16:uniqueId val="{00000004-249F-4602-90A6-343E936FBEBE}"/>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'Outputs '!$B$42:$K$42</c15:sqref>
                        </c15:formulaRef>
                      </c:ext>
                    </c:extLst>
                    <c:strCache>
                      <c:ptCount val="10"/>
                      <c:pt idx="0">
                        <c:v>Tax Expense</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'!$L$42:$R$42</c15:sqref>
                        </c15:formulaRef>
                      </c:ext>
                    </c:extLst>
                    <c:numCache>
                      <c:formatCode>_(#,##0_);\(#,##0\);_("–"_);_(@_)</c:formatCode>
                      <c:ptCount val="7"/>
                      <c:pt idx="0">
                        <c:v>30.827236865811759</c:v>
                      </c:pt>
                      <c:pt idx="1">
                        <c:v>24.308449455363078</c:v>
                      </c:pt>
                      <c:pt idx="2">
                        <c:v>24.395239796041174</c:v>
                      </c:pt>
                      <c:pt idx="3">
                        <c:v>30.266156080881103</c:v>
                      </c:pt>
                      <c:pt idx="4">
                        <c:v>37.029510567658214</c:v>
                      </c:pt>
                      <c:pt idx="5">
                        <c:v>45.543150576284212</c:v>
                      </c:pt>
                      <c:pt idx="6">
                        <c:v>54.193956556259629</c:v>
                      </c:pt>
                    </c:numCache>
                  </c:numRef>
                </c:val>
                <c:smooth val="0"/>
                <c:extLst xmlns:c15="http://schemas.microsoft.com/office/drawing/2012/chart">
                  <c:ext xmlns:c16="http://schemas.microsoft.com/office/drawing/2014/chart" uri="{C3380CC4-5D6E-409C-BE32-E72D297353CC}">
                    <c16:uniqueId val="{00000005-249F-4602-90A6-343E936FBEBE}"/>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'Outputs '!$B$43:$K$43</c15:sqref>
                        </c15:formulaRef>
                      </c:ext>
                    </c:extLst>
                    <c:strCache>
                      <c:ptCount val="10"/>
                      <c:pt idx="0">
                        <c:v>CapEx</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'!$L$43:$R$43</c15:sqref>
                        </c15:formulaRef>
                      </c:ext>
                    </c:extLst>
                    <c:numCache>
                      <c:formatCode>_(#,##0_);\(#,##0\);_("–"_);_(@_)</c:formatCode>
                      <c:ptCount val="7"/>
                      <c:pt idx="0">
                        <c:v>47.050000000000075</c:v>
                      </c:pt>
                      <c:pt idx="1">
                        <c:v>52.459996789828644</c:v>
                      </c:pt>
                      <c:pt idx="2">
                        <c:v>59.040888021288154</c:v>
                      </c:pt>
                      <c:pt idx="3">
                        <c:v>66.666128915173871</c:v>
                      </c:pt>
                      <c:pt idx="4">
                        <c:v>74.958742458651514</c:v>
                      </c:pt>
                      <c:pt idx="5">
                        <c:v>83.942337769624473</c:v>
                      </c:pt>
                      <c:pt idx="6">
                        <c:v>93.636182117085667</c:v>
                      </c:pt>
                    </c:numCache>
                  </c:numRef>
                </c:val>
                <c:smooth val="0"/>
                <c:extLst xmlns:c15="http://schemas.microsoft.com/office/drawing/2012/chart">
                  <c:ext xmlns:c16="http://schemas.microsoft.com/office/drawing/2014/chart" uri="{C3380CC4-5D6E-409C-BE32-E72D297353CC}">
                    <c16:uniqueId val="{00000006-249F-4602-90A6-343E936FBEBE}"/>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'Outputs '!$B$44:$K$44</c15:sqref>
                        </c15:formulaRef>
                      </c:ext>
                    </c:extLst>
                    <c:strCache>
                      <c:ptCount val="10"/>
                      <c:pt idx="0">
                        <c:v>CapEx, % of Revenue</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'!$L$44:$R$44</c15:sqref>
                        </c15:formulaRef>
                      </c:ext>
                    </c:extLst>
                    <c:numCache>
                      <c:formatCode>0.0%</c:formatCode>
                      <c:ptCount val="7"/>
                      <c:pt idx="0">
                        <c:v>3.1568711047448003E-2</c:v>
                      </c:pt>
                      <c:pt idx="1">
                        <c:v>3.3775917714114673E-2</c:v>
                      </c:pt>
                      <c:pt idx="2">
                        <c:v>3.5983124380781342E-2</c:v>
                      </c:pt>
                      <c:pt idx="3">
                        <c:v>3.8190331047448012E-2</c:v>
                      </c:pt>
                      <c:pt idx="4">
                        <c:v>4.0397537714114681E-2</c:v>
                      </c:pt>
                      <c:pt idx="5">
                        <c:v>4.2604744380781351E-2</c:v>
                      </c:pt>
                      <c:pt idx="6">
                        <c:v>4.4811951047448007E-2</c:v>
                      </c:pt>
                    </c:numCache>
                  </c:numRef>
                </c:val>
                <c:smooth val="0"/>
                <c:extLst xmlns:c15="http://schemas.microsoft.com/office/drawing/2012/chart">
                  <c:ext xmlns:c16="http://schemas.microsoft.com/office/drawing/2014/chart" uri="{C3380CC4-5D6E-409C-BE32-E72D297353CC}">
                    <c16:uniqueId val="{00000007-249F-4602-90A6-343E936FBEBE}"/>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'Outputs '!$B$45:$K$45</c15:sqref>
                        </c15:formulaRef>
                      </c:ext>
                    </c:extLst>
                    <c:strCache>
                      <c:ptCount val="10"/>
                      <c:pt idx="0">
                        <c:v>Total Interest Expense</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'!$L$45:$R$45</c15:sqref>
                        </c15:formulaRef>
                      </c:ext>
                    </c:extLst>
                    <c:numCache>
                      <c:formatCode>_(#,##0_);\(#,##0\);_("–"_);_(@_)</c:formatCode>
                      <c:ptCount val="7"/>
                      <c:pt idx="0">
                        <c:v>27.692184949288517</c:v>
                      </c:pt>
                      <c:pt idx="1">
                        <c:v>72.847382228457661</c:v>
                      </c:pt>
                      <c:pt idx="2">
                        <c:v>91.733237789579547</c:v>
                      </c:pt>
                      <c:pt idx="3">
                        <c:v>91.064285868854157</c:v>
                      </c:pt>
                      <c:pt idx="4">
                        <c:v>88.730755905452341</c:v>
                      </c:pt>
                      <c:pt idx="5">
                        <c:v>81.153106145899002</c:v>
                      </c:pt>
                      <c:pt idx="6">
                        <c:v>75.237676759856569</c:v>
                      </c:pt>
                    </c:numCache>
                  </c:numRef>
                </c:val>
                <c:smooth val="0"/>
                <c:extLst xmlns:c15="http://schemas.microsoft.com/office/drawing/2012/chart">
                  <c:ext xmlns:c16="http://schemas.microsoft.com/office/drawing/2014/chart" uri="{C3380CC4-5D6E-409C-BE32-E72D297353CC}">
                    <c16:uniqueId val="{00000008-249F-4602-90A6-343E936FBEBE}"/>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'Outputs '!$B$47:$K$47</c15:sqref>
                        </c15:formulaRef>
                      </c:ext>
                    </c:extLst>
                    <c:strCache>
                      <c:ptCount val="10"/>
                      <c:pt idx="0">
                        <c:v>Total Principal Repayments</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'!$L$47:$R$47</c15:sqref>
                        </c15:formulaRef>
                      </c:ext>
                    </c:extLst>
                    <c:numCache>
                      <c:formatCode>_(#,##0_);\(#,##0\);_("–"_);_(@_)</c:formatCode>
                      <c:ptCount val="7"/>
                      <c:pt idx="0">
                        <c:v>136.00233265726615</c:v>
                      </c:pt>
                      <c:pt idx="1">
                        <c:v>518.69766734273378</c:v>
                      </c:pt>
                      <c:pt idx="2">
                        <c:v>87.779675954020234</c:v>
                      </c:pt>
                      <c:pt idx="3">
                        <c:v>99.526405211700137</c:v>
                      </c:pt>
                      <c:pt idx="4">
                        <c:v>115.52827715895413</c:v>
                      </c:pt>
                      <c:pt idx="5">
                        <c:v>136.54039513946532</c:v>
                      </c:pt>
                      <c:pt idx="6">
                        <c:v>157.2685877147191</c:v>
                      </c:pt>
                    </c:numCache>
                  </c:numRef>
                </c:val>
                <c:smooth val="0"/>
                <c:extLst xmlns:c15="http://schemas.microsoft.com/office/drawing/2012/chart">
                  <c:ext xmlns:c16="http://schemas.microsoft.com/office/drawing/2014/chart" uri="{C3380CC4-5D6E-409C-BE32-E72D297353CC}">
                    <c16:uniqueId val="{00000009-249F-4602-90A6-343E936FBEBE}"/>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'Outputs '!$B$48:$K$48</c15:sqref>
                        </c15:formulaRef>
                      </c:ext>
                    </c:extLst>
                    <c:strCache>
                      <c:ptCount val="10"/>
                      <c:pt idx="0">
                        <c:v>Total Debt</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'!$L$48:$R$48</c15:sqref>
                        </c15:formulaRef>
                      </c:ext>
                    </c:extLst>
                    <c:numCache>
                      <c:formatCode>_(#,##0_);\(#,##0\);_("–"_);_(@_)</c:formatCode>
                      <c:ptCount val="7"/>
                      <c:pt idx="0">
                        <c:v>518.69766734273378</c:v>
                      </c:pt>
                      <c:pt idx="1">
                        <c:v>1683.1195725330872</c:v>
                      </c:pt>
                      <c:pt idx="2">
                        <c:v>1595.339896579067</c:v>
                      </c:pt>
                      <c:pt idx="3">
                        <c:v>1495.8134913673666</c:v>
                      </c:pt>
                      <c:pt idx="4">
                        <c:v>1380.285214208413</c:v>
                      </c:pt>
                      <c:pt idx="5">
                        <c:v>1243.7448190689474</c:v>
                      </c:pt>
                      <c:pt idx="6">
                        <c:v>1086.4762313542283</c:v>
                      </c:pt>
                    </c:numCache>
                  </c:numRef>
                </c:val>
                <c:smooth val="0"/>
                <c:extLst xmlns:c15="http://schemas.microsoft.com/office/drawing/2012/chart">
                  <c:ext xmlns:c16="http://schemas.microsoft.com/office/drawing/2014/chart" uri="{C3380CC4-5D6E-409C-BE32-E72D297353CC}">
                    <c16:uniqueId val="{0000000F-249F-4602-90A6-343E936FBEBE}"/>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'Outputs '!$B$49:$K$49</c15:sqref>
                        </c15:formulaRef>
                      </c:ext>
                    </c:extLst>
                    <c:strCache>
                      <c:ptCount val="10"/>
                      <c:pt idx="0">
                        <c:v>Cash</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'!$L$49:$R$49</c15:sqref>
                        </c15:formulaRef>
                      </c:ext>
                    </c:extLst>
                    <c:numCache>
                      <c:formatCode>_(#,##0_);\(#,##0\);_("–"_);_(@_)</c:formatCode>
                      <c:ptCount val="7"/>
                      <c:pt idx="0">
                        <c:v>32.219122063217029</c:v>
                      </c:pt>
                      <c:pt idx="1">
                        <c:v>32.833877599257235</c:v>
                      </c:pt>
                      <c:pt idx="2">
                        <c:v>33.901832040124006</c:v>
                      </c:pt>
                      <c:pt idx="3">
                        <c:v>35.233565576390717</c:v>
                      </c:pt>
                      <c:pt idx="4">
                        <c:v>36.564883803777107</c:v>
                      </c:pt>
                      <c:pt idx="5">
                        <c:v>37.884045519729952</c:v>
                      </c:pt>
                      <c:pt idx="6">
                        <c:v>39.178798817226252</c:v>
                      </c:pt>
                    </c:numCache>
                  </c:numRef>
                </c:val>
                <c:smooth val="0"/>
                <c:extLst xmlns:c15="http://schemas.microsoft.com/office/drawing/2012/chart">
                  <c:ext xmlns:c16="http://schemas.microsoft.com/office/drawing/2014/chart" uri="{C3380CC4-5D6E-409C-BE32-E72D297353CC}">
                    <c16:uniqueId val="{00000010-249F-4602-90A6-343E936FBEBE}"/>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'Outputs '!$B$52:$K$52</c15:sqref>
                        </c15:formulaRef>
                      </c:ext>
                    </c:extLst>
                    <c:strCache>
                      <c:ptCount val="10"/>
                      <c:pt idx="0">
                        <c:v>EBITDA Margin</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'!$L$52:$R$52</c15:sqref>
                        </c15:formulaRef>
                      </c:ext>
                    </c:extLst>
                    <c:numCache>
                      <c:formatCode>General</c:formatCode>
                      <c:ptCount val="7"/>
                    </c:numCache>
                  </c:numRef>
                </c:val>
                <c:smooth val="0"/>
                <c:extLst xmlns:c15="http://schemas.microsoft.com/office/drawing/2012/chart">
                  <c:ext xmlns:c16="http://schemas.microsoft.com/office/drawing/2014/chart" uri="{C3380CC4-5D6E-409C-BE32-E72D297353CC}">
                    <c16:uniqueId val="{00000011-249F-4602-90A6-343E936FBEBE}"/>
                  </c:ext>
                </c:extLst>
              </c15:ser>
            </c15:filteredLineSeries>
          </c:ext>
        </c:extLst>
      </c:lineChart>
      <c:lineChart>
        <c:grouping val="standard"/>
        <c:varyColors val="0"/>
        <c:ser>
          <c:idx val="11"/>
          <c:order val="11"/>
          <c:tx>
            <c:strRef>
              <c:f>'Outputs '!$B$54:$K$54</c:f>
              <c:strCache>
                <c:ptCount val="10"/>
                <c:pt idx="0">
                  <c:v>Debt Service Coverage Ratio</c:v>
                </c:pt>
              </c:strCache>
            </c:strRef>
          </c:tx>
          <c:spPr>
            <a:ln w="28575" cap="rnd">
              <a:solidFill>
                <a:srgbClr val="EB33CC"/>
              </a:solidFill>
              <a:round/>
            </a:ln>
            <a:effectLst/>
          </c:spPr>
          <c:marker>
            <c:symbol val="circle"/>
            <c:size val="5"/>
            <c:spPr>
              <a:solidFill>
                <a:schemeClr val="bg1"/>
              </a:solidFill>
              <a:ln w="9525">
                <a:solidFill>
                  <a:schemeClr val="bg2">
                    <a:lumMod val="50000"/>
                  </a:schemeClr>
                </a:solidFill>
              </a:ln>
              <a:effectLst/>
            </c:spPr>
          </c:marker>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'!$L$54:$R$54</c:f>
              <c:numCache>
                <c:formatCode>_(0.0\x_);\(0.0\x\);"-"</c:formatCode>
                <c:ptCount val="7"/>
                <c:pt idx="0">
                  <c:v>0.89127254540624512</c:v>
                </c:pt>
                <c:pt idx="1">
                  <c:v>0.29150465115824797</c:v>
                </c:pt>
                <c:pt idx="2">
                  <c:v>1.052413212385686</c:v>
                </c:pt>
                <c:pt idx="3">
                  <c:v>1.0622118524780788</c:v>
                </c:pt>
                <c:pt idx="4">
                  <c:v>1.0600986155394567</c:v>
                </c:pt>
                <c:pt idx="5">
                  <c:v>1.058148009024511</c:v>
                </c:pt>
                <c:pt idx="6">
                  <c:v>1.05600987684935</c:v>
                </c:pt>
              </c:numCache>
            </c:numRef>
          </c:val>
          <c:smooth val="0"/>
          <c:extLst>
            <c:ext xmlns:c16="http://schemas.microsoft.com/office/drawing/2014/chart" uri="{C3380CC4-5D6E-409C-BE32-E72D297353CC}">
              <c16:uniqueId val="{00000013-249F-4602-90A6-343E936FBEBE}"/>
            </c:ext>
          </c:extLst>
        </c:ser>
        <c:dLbls>
          <c:showLegendKey val="0"/>
          <c:showVal val="0"/>
          <c:showCatName val="0"/>
          <c:showSerName val="0"/>
          <c:showPercent val="0"/>
          <c:showBubbleSize val="0"/>
        </c:dLbls>
        <c:marker val="1"/>
        <c:smooth val="0"/>
        <c:axId val="1539321872"/>
        <c:axId val="1539332912"/>
      </c:lineChart>
      <c:catAx>
        <c:axId val="859714160"/>
        <c:scaling>
          <c:orientation val="minMax"/>
        </c:scaling>
        <c:delete val="0"/>
        <c:axPos val="b"/>
        <c:numFmt formatCode="General&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9715120"/>
        <c:crosses val="autoZero"/>
        <c:auto val="1"/>
        <c:lblAlgn val="ctr"/>
        <c:lblOffset val="100"/>
        <c:noMultiLvlLbl val="0"/>
      </c:catAx>
      <c:valAx>
        <c:axId val="859715120"/>
        <c:scaling>
          <c:orientation val="minMax"/>
        </c:scaling>
        <c:delete val="0"/>
        <c:axPos val="l"/>
        <c:numFmt formatCode="_(0.0\x_);\(0.0\x\);&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7030A0"/>
                </a:solidFill>
                <a:latin typeface="+mn-lt"/>
                <a:ea typeface="+mn-ea"/>
                <a:cs typeface="+mn-cs"/>
              </a:defRPr>
            </a:pPr>
            <a:endParaRPr lang="en-US"/>
          </a:p>
        </c:txPr>
        <c:crossAx val="859714160"/>
        <c:crosses val="autoZero"/>
        <c:crossBetween val="between"/>
      </c:valAx>
      <c:valAx>
        <c:axId val="1539332912"/>
        <c:scaling>
          <c:orientation val="minMax"/>
        </c:scaling>
        <c:delete val="0"/>
        <c:axPos val="r"/>
        <c:numFmt formatCode="_(0.0\x_);\(0.0\x\);&quot;-&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9321872"/>
        <c:crosses val="max"/>
        <c:crossBetween val="between"/>
      </c:valAx>
      <c:catAx>
        <c:axId val="1539321872"/>
        <c:scaling>
          <c:orientation val="minMax"/>
        </c:scaling>
        <c:delete val="1"/>
        <c:axPos val="b"/>
        <c:numFmt formatCode="General&quot;E&quot;" sourceLinked="1"/>
        <c:majorTickMark val="out"/>
        <c:minorTickMark val="none"/>
        <c:tickLblPos val="nextTo"/>
        <c:crossAx val="1539332912"/>
        <c:crosses val="autoZero"/>
        <c:auto val="1"/>
        <c:lblAlgn val="ctr"/>
        <c:lblOffset val="100"/>
        <c:noMultiLvlLbl val="0"/>
      </c:catAx>
      <c:spPr>
        <a:noFill/>
        <a:ln>
          <a:noFill/>
        </a:ln>
        <a:effectLst/>
      </c:spPr>
    </c:plotArea>
    <c:legend>
      <c:legendPos val="b"/>
      <c:layout>
        <c:manualLayout>
          <c:xMode val="edge"/>
          <c:yMode val="edge"/>
          <c:x val="0.19740179352580928"/>
          <c:y val="0.74983664136101724"/>
          <c:w val="0.7138285278597083"/>
          <c:h val="7.7475371635165824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3-E1B4-4FD4-9DA5-3F92F06975BB}"/>
              </c:ext>
            </c:extLst>
          </c:dPt>
          <c:dPt>
            <c:idx val="1"/>
            <c:bubble3D val="0"/>
            <c:spPr>
              <a:solidFill>
                <a:srgbClr val="FF00FF"/>
              </a:solidFill>
              <a:ln w="19050">
                <a:solidFill>
                  <a:schemeClr val="lt1"/>
                </a:solidFill>
              </a:ln>
              <a:effectLst/>
            </c:spPr>
            <c:extLst>
              <c:ext xmlns:c16="http://schemas.microsoft.com/office/drawing/2014/chart" uri="{C3380CC4-5D6E-409C-BE32-E72D297353CC}">
                <c16:uniqueId val="{00000005-E1B4-4FD4-9DA5-3F92F06975BB}"/>
              </c:ext>
            </c:extLst>
          </c:dPt>
          <c:dPt>
            <c:idx val="2"/>
            <c:bubble3D val="0"/>
            <c:spPr>
              <a:solidFill>
                <a:srgbClr val="FF99FF"/>
              </a:solidFill>
              <a:ln w="19050">
                <a:solidFill>
                  <a:schemeClr val="lt1"/>
                </a:solidFill>
              </a:ln>
              <a:effectLst/>
            </c:spPr>
            <c:extLst>
              <c:ext xmlns:c16="http://schemas.microsoft.com/office/drawing/2014/chart" uri="{C3380CC4-5D6E-409C-BE32-E72D297353CC}">
                <c16:uniqueId val="{00000007-E1B4-4FD4-9DA5-3F92F06975BB}"/>
              </c:ext>
            </c:extLst>
          </c:dPt>
          <c:dPt>
            <c:idx val="3"/>
            <c:bubble3D val="0"/>
            <c:spPr>
              <a:solidFill>
                <a:srgbClr val="EB33CC"/>
              </a:solidFill>
              <a:ln w="19050">
                <a:solidFill>
                  <a:schemeClr val="lt1"/>
                </a:solidFill>
              </a:ln>
              <a:effectLst/>
            </c:spPr>
            <c:extLst>
              <c:ext xmlns:c16="http://schemas.microsoft.com/office/drawing/2014/chart" uri="{C3380CC4-5D6E-409C-BE32-E72D297353CC}">
                <c16:uniqueId val="{00000009-E1B4-4FD4-9DA5-3F92F06975B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B-E1B4-4FD4-9DA5-3F92F06975BB}"/>
              </c:ext>
            </c:extLst>
          </c:dPt>
          <c:dPt>
            <c:idx val="5"/>
            <c:bubble3D val="0"/>
            <c:spPr>
              <a:solidFill>
                <a:srgbClr val="CC00CC"/>
              </a:solidFill>
              <a:ln w="19050">
                <a:solidFill>
                  <a:schemeClr val="lt1"/>
                </a:solidFill>
              </a:ln>
              <a:effectLst/>
            </c:spPr>
            <c:extLst>
              <c:ext xmlns:c16="http://schemas.microsoft.com/office/drawing/2014/chart" uri="{C3380CC4-5D6E-409C-BE32-E72D297353CC}">
                <c16:uniqueId val="{0000000C-E1B4-4FD4-9DA5-3F92F06975BB}"/>
              </c:ext>
            </c:extLst>
          </c:dPt>
          <c:dPt>
            <c:idx val="6"/>
            <c:bubble3D val="0"/>
            <c:spPr>
              <a:solidFill>
                <a:srgbClr val="7030A0"/>
              </a:solidFill>
              <a:ln w="19050">
                <a:solidFill>
                  <a:schemeClr val="lt1"/>
                </a:solidFill>
              </a:ln>
              <a:effectLst/>
            </c:spPr>
            <c:extLst>
              <c:ext xmlns:c16="http://schemas.microsoft.com/office/drawing/2014/chart" uri="{C3380CC4-5D6E-409C-BE32-E72D297353CC}">
                <c16:uniqueId val="{0000000C-15ED-4110-967F-85AB14236270}"/>
              </c:ext>
            </c:extLst>
          </c:dPt>
          <c:dLbls>
            <c:dLbl>
              <c:idx val="6"/>
              <c:layout>
                <c:manualLayout>
                  <c:x val="0"/>
                  <c:y val="3.674836571047611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5ED-4110-967F-85AB1423627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cap="all" baseline="0">
                    <a:solidFill>
                      <a:schemeClr val="bg1"/>
                    </a:solidFill>
                    <a:latin typeface="Aptos ExtraBold" panose="020F0502020204030204" pitchFamily="34" charset="0"/>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'Spectris Raw Data '!$B$244:$B$250</c:f>
              <c:strCache>
                <c:ptCount val="7"/>
                <c:pt idx="0">
                  <c:v>Life Sciences</c:v>
                </c:pt>
                <c:pt idx="1">
                  <c:v>Industrials</c:v>
                </c:pt>
                <c:pt idx="2">
                  <c:v>Electronics</c:v>
                </c:pt>
                <c:pt idx="3">
                  <c:v>Mining</c:v>
                </c:pt>
                <c:pt idx="4">
                  <c:v>Automotive</c:v>
                </c:pt>
                <c:pt idx="5">
                  <c:v>Academic</c:v>
                </c:pt>
                <c:pt idx="6">
                  <c:v>Other</c:v>
                </c:pt>
              </c:strCache>
            </c:strRef>
          </c:cat>
          <c:val>
            <c:numRef>
              <c:f>'Spectris Raw Data '!$G$244:$G$250</c:f>
              <c:numCache>
                <c:formatCode>0%</c:formatCode>
                <c:ptCount val="7"/>
                <c:pt idx="0">
                  <c:v>0.19</c:v>
                </c:pt>
                <c:pt idx="1">
                  <c:v>0.17</c:v>
                </c:pt>
                <c:pt idx="2">
                  <c:v>0.12</c:v>
                </c:pt>
                <c:pt idx="3">
                  <c:v>0.12</c:v>
                </c:pt>
                <c:pt idx="4">
                  <c:v>0.11</c:v>
                </c:pt>
                <c:pt idx="5">
                  <c:v>0.09</c:v>
                </c:pt>
                <c:pt idx="6">
                  <c:v>0.2</c:v>
                </c:pt>
              </c:numCache>
            </c:numRef>
          </c:val>
          <c:extLst>
            <c:ext xmlns:c16="http://schemas.microsoft.com/office/drawing/2014/chart" uri="{C3380CC4-5D6E-409C-BE32-E72D297353CC}">
              <c16:uniqueId val="{0000000A-E1B4-4FD4-9DA5-3F92F06975BB}"/>
            </c:ext>
          </c:extLst>
        </c:ser>
        <c:dLbls>
          <c:showLegendKey val="0"/>
          <c:showVal val="1"/>
          <c:showCatName val="0"/>
          <c:showSerName val="0"/>
          <c:showPercent val="0"/>
          <c:showBubbleSize val="0"/>
          <c:showLeaderLines val="1"/>
        </c:dLbls>
        <c:firstSliceAng val="0"/>
        <c:holeSize val="8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cap="all" baseline="0">
              <a:solidFill>
                <a:schemeClr val="tx1"/>
              </a:solidFill>
              <a:latin typeface="Aptos Display" panose="020B0004020202020204" pitchFamily="34" charset="0"/>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GB">
                <a:solidFill>
                  <a:sysClr val="windowText" lastClr="000000"/>
                </a:solidFill>
              </a:rPr>
              <a:t>Capital</a:t>
            </a:r>
            <a:r>
              <a:rPr lang="en-GB" baseline="0">
                <a:solidFill>
                  <a:sysClr val="windowText" lastClr="000000"/>
                </a:solidFill>
              </a:rPr>
              <a:t> Good Companies PE Ratios</a:t>
            </a:r>
            <a:endParaRPr lang="en-GB">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GB"/>
        </a:p>
      </c:txPr>
    </c:title>
    <c:autoTitleDeleted val="0"/>
    <c:plotArea>
      <c:layout>
        <c:manualLayout>
          <c:layoutTarget val="inner"/>
          <c:xMode val="edge"/>
          <c:yMode val="edge"/>
          <c:x val="7.2025371828521437E-2"/>
          <c:y val="5.0925925925925923E-2"/>
          <c:w val="0.86706036745406823"/>
          <c:h val="0.73614173228346458"/>
        </c:manualLayout>
      </c:layout>
      <c:barChart>
        <c:barDir val="col"/>
        <c:grouping val="stacked"/>
        <c:varyColors val="0"/>
        <c:ser>
          <c:idx val="0"/>
          <c:order val="0"/>
          <c:tx>
            <c:v>10yr PER Low</c:v>
          </c:tx>
          <c:spPr>
            <a:solidFill>
              <a:schemeClr val="tx1">
                <a:alpha val="0"/>
              </a:schemeClr>
            </a:solidFill>
            <a:ln>
              <a:noFill/>
            </a:ln>
            <a:effectLst/>
          </c:spPr>
          <c:invertIfNegative val="0"/>
          <c:cat>
            <c:strLit>
              <c:ptCount val="3"/>
              <c:pt idx="0">
                <c:v>UK</c:v>
              </c:pt>
              <c:pt idx="1">
                <c:v>EU</c:v>
              </c:pt>
              <c:pt idx="2">
                <c:v>US </c:v>
              </c:pt>
            </c:strLit>
          </c:cat>
          <c:val>
            <c:numLit>
              <c:formatCode>General</c:formatCode>
              <c:ptCount val="3"/>
              <c:pt idx="0">
                <c:v>12</c:v>
              </c:pt>
              <c:pt idx="1">
                <c:v>10.5</c:v>
              </c:pt>
              <c:pt idx="2">
                <c:v>12</c:v>
              </c:pt>
            </c:numLit>
          </c:val>
          <c:extLst>
            <c:ext xmlns:c16="http://schemas.microsoft.com/office/drawing/2014/chart" uri="{C3380CC4-5D6E-409C-BE32-E72D297353CC}">
              <c16:uniqueId val="{00000000-790A-470B-90E6-39BFDD5CC164}"/>
            </c:ext>
          </c:extLst>
        </c:ser>
        <c:ser>
          <c:idx val="1"/>
          <c:order val="1"/>
          <c:tx>
            <c:v>Range</c:v>
          </c:tx>
          <c:spPr>
            <a:solidFill>
              <a:srgbClr val="492395"/>
            </a:solidFill>
            <a:ln>
              <a:noFill/>
            </a:ln>
            <a:effectLst/>
          </c:spPr>
          <c:invertIfNegative val="0"/>
          <c:cat>
            <c:strLit>
              <c:ptCount val="3"/>
              <c:pt idx="0">
                <c:v>UK</c:v>
              </c:pt>
              <c:pt idx="1">
                <c:v>EU</c:v>
              </c:pt>
              <c:pt idx="2">
                <c:v>US </c:v>
              </c:pt>
            </c:strLit>
          </c:cat>
          <c:val>
            <c:numLit>
              <c:formatCode>General</c:formatCode>
              <c:ptCount val="3"/>
              <c:pt idx="0">
                <c:v>10</c:v>
              </c:pt>
              <c:pt idx="1">
                <c:v>13.5</c:v>
              </c:pt>
              <c:pt idx="2">
                <c:v>13.5</c:v>
              </c:pt>
            </c:numLit>
          </c:val>
          <c:extLst>
            <c:ext xmlns:c16="http://schemas.microsoft.com/office/drawing/2014/chart" uri="{C3380CC4-5D6E-409C-BE32-E72D297353CC}">
              <c16:uniqueId val="{00000001-790A-470B-90E6-39BFDD5CC164}"/>
            </c:ext>
          </c:extLst>
        </c:ser>
        <c:dLbls>
          <c:showLegendKey val="0"/>
          <c:showVal val="0"/>
          <c:showCatName val="0"/>
          <c:showSerName val="0"/>
          <c:showPercent val="0"/>
          <c:showBubbleSize val="0"/>
        </c:dLbls>
        <c:gapWidth val="150"/>
        <c:overlap val="100"/>
        <c:axId val="988653640"/>
        <c:axId val="1482243056"/>
      </c:barChart>
      <c:scatterChart>
        <c:scatterStyle val="lineMarker"/>
        <c:varyColors val="0"/>
        <c:ser>
          <c:idx val="2"/>
          <c:order val="2"/>
          <c:tx>
            <c:v>10yr PER Average</c:v>
          </c:tx>
          <c:spPr>
            <a:ln w="25400" cap="rnd">
              <a:noFill/>
              <a:round/>
            </a:ln>
            <a:effectLst/>
          </c:spPr>
          <c:marker>
            <c:symbol val="diamond"/>
            <c:size val="5"/>
            <c:spPr>
              <a:solidFill>
                <a:srgbClr val="CC00FF"/>
              </a:solidFill>
              <a:ln w="15875" cap="sq">
                <a:solidFill>
                  <a:srgbClr val="CC00FF"/>
                </a:solidFill>
                <a:bevel/>
              </a:ln>
              <a:effectLst/>
            </c:spPr>
          </c:marker>
          <c:yVal>
            <c:numLit>
              <c:formatCode>General</c:formatCode>
              <c:ptCount val="3"/>
              <c:pt idx="0">
                <c:v>16</c:v>
              </c:pt>
              <c:pt idx="1">
                <c:v>17.5</c:v>
              </c:pt>
              <c:pt idx="2">
                <c:v>18.5</c:v>
              </c:pt>
            </c:numLit>
          </c:yVal>
          <c:smooth val="0"/>
          <c:extLst>
            <c:ext xmlns:c16="http://schemas.microsoft.com/office/drawing/2014/chart" uri="{C3380CC4-5D6E-409C-BE32-E72D297353CC}">
              <c16:uniqueId val="{00000002-790A-470B-90E6-39BFDD5CC164}"/>
            </c:ext>
          </c:extLst>
        </c:ser>
        <c:ser>
          <c:idx val="3"/>
          <c:order val="3"/>
          <c:tx>
            <c:v>Current PER</c:v>
          </c:tx>
          <c:spPr>
            <a:ln w="25400" cap="rnd">
              <a:solidFill>
                <a:srgbClr val="CC00FF">
                  <a:alpha val="0"/>
                </a:srgbClr>
              </a:solidFill>
              <a:round/>
            </a:ln>
            <a:effectLst/>
          </c:spPr>
          <c:marker>
            <c:symbol val="dash"/>
            <c:size val="5"/>
            <c:spPr>
              <a:solidFill>
                <a:srgbClr val="FF00FF"/>
              </a:solidFill>
              <a:ln w="9525">
                <a:solidFill>
                  <a:srgbClr val="FF00FF"/>
                </a:solidFill>
              </a:ln>
              <a:effectLst/>
            </c:spPr>
          </c:marker>
          <c:yVal>
            <c:numLit>
              <c:formatCode>General</c:formatCode>
              <c:ptCount val="3"/>
              <c:pt idx="0">
                <c:v>16.5</c:v>
              </c:pt>
              <c:pt idx="1">
                <c:v>21.5</c:v>
              </c:pt>
              <c:pt idx="2">
                <c:v>25</c:v>
              </c:pt>
            </c:numLit>
          </c:yVal>
          <c:smooth val="0"/>
          <c:extLst>
            <c:ext xmlns:c16="http://schemas.microsoft.com/office/drawing/2014/chart" uri="{C3380CC4-5D6E-409C-BE32-E72D297353CC}">
              <c16:uniqueId val="{00000003-790A-470B-90E6-39BFDD5CC164}"/>
            </c:ext>
          </c:extLst>
        </c:ser>
        <c:dLbls>
          <c:showLegendKey val="0"/>
          <c:showVal val="0"/>
          <c:showCatName val="0"/>
          <c:showSerName val="0"/>
          <c:showPercent val="0"/>
          <c:showBubbleSize val="0"/>
        </c:dLbls>
        <c:axId val="1674199048"/>
        <c:axId val="1671605472"/>
      </c:scatterChart>
      <c:catAx>
        <c:axId val="988653640"/>
        <c:scaling>
          <c:orientation val="minMax"/>
        </c:scaling>
        <c:delete val="0"/>
        <c:axPos val="b"/>
        <c:title>
          <c:overlay val="0"/>
          <c:spPr>
            <a:noFill/>
            <a:ln>
              <a:noFill/>
            </a:ln>
            <a:effectLst/>
          </c:spPr>
          <c:txPr>
            <a:bodyPr rot="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82243056"/>
        <c:crosses val="autoZero"/>
        <c:auto val="1"/>
        <c:lblAlgn val="ctr"/>
        <c:lblOffset val="100"/>
        <c:noMultiLvlLbl val="0"/>
      </c:catAx>
      <c:valAx>
        <c:axId val="1482243056"/>
        <c:scaling>
          <c:orientation val="minMax"/>
          <c:min val="10"/>
        </c:scaling>
        <c:delete val="0"/>
        <c:axPos val="l"/>
        <c:numFmt formatCode="_(0.0\x_);\(0.0\x\);&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88653640"/>
        <c:crosses val="autoZero"/>
        <c:crossBetween val="between"/>
      </c:valAx>
      <c:valAx>
        <c:axId val="1671605472"/>
        <c:scaling>
          <c:orientation val="minMax"/>
          <c:min val="10"/>
        </c:scaling>
        <c:delete val="0"/>
        <c:axPos val="r"/>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solidFill>
            <a:schemeClr val="bg1"/>
          </a:solid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674199048"/>
        <c:crosses val="max"/>
        <c:crossBetween val="midCat"/>
      </c:valAx>
      <c:valAx>
        <c:axId val="1674199048"/>
        <c:scaling>
          <c:orientation val="minMax"/>
        </c:scaling>
        <c:delete val="1"/>
        <c:axPos val="b"/>
        <c:majorTickMark val="out"/>
        <c:minorTickMark val="none"/>
        <c:tickLblPos val="nextTo"/>
        <c:crossAx val="1671605472"/>
        <c:crosses val="autoZero"/>
        <c:crossBetween val="midCat"/>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200342063418341E-2"/>
          <c:y val="0.13904982618771727"/>
          <c:w val="0.8221696437841175"/>
          <c:h val="0.73583598689792973"/>
        </c:manualLayout>
      </c:layout>
      <c:barChart>
        <c:barDir val="col"/>
        <c:grouping val="clustered"/>
        <c:varyColors val="0"/>
        <c:ser>
          <c:idx val="2"/>
          <c:order val="2"/>
          <c:tx>
            <c:strRef>
              <c:f>'Outputs '!$D$246</c:f>
              <c:strCache>
                <c:ptCount val="1"/>
                <c:pt idx="0">
                  <c:v>IRR</c:v>
                </c:pt>
              </c:strCache>
            </c:strRef>
          </c:tx>
          <c:spPr>
            <a:solidFill>
              <a:srgbClr val="7030A0"/>
            </a:solidFill>
            <a:ln>
              <a:noFill/>
            </a:ln>
            <a:effectLst/>
          </c:spPr>
          <c:invertIfNegative val="0"/>
          <c:val>
            <c:numRef>
              <c:f>'Outputs '!$D$247:$D$251</c:f>
              <c:numCache>
                <c:formatCode>0%</c:formatCode>
                <c:ptCount val="5"/>
                <c:pt idx="0">
                  <c:v>0.15084887146949771</c:v>
                </c:pt>
                <c:pt idx="1">
                  <c:v>0.155822890996933</c:v>
                </c:pt>
                <c:pt idx="2">
                  <c:v>0.15549191832542422</c:v>
                </c:pt>
                <c:pt idx="3">
                  <c:v>0.15353470444679265</c:v>
                </c:pt>
                <c:pt idx="4">
                  <c:v>0.15088873505592348</c:v>
                </c:pt>
              </c:numCache>
            </c:numRef>
          </c:val>
          <c:extLst>
            <c:ext xmlns:c16="http://schemas.microsoft.com/office/drawing/2014/chart" uri="{C3380CC4-5D6E-409C-BE32-E72D297353CC}">
              <c16:uniqueId val="{00000002-22ED-4680-83B8-651FD3BC539D}"/>
            </c:ext>
          </c:extLst>
        </c:ser>
        <c:dLbls>
          <c:showLegendKey val="0"/>
          <c:showVal val="0"/>
          <c:showCatName val="0"/>
          <c:showSerName val="0"/>
          <c:showPercent val="0"/>
          <c:showBubbleSize val="0"/>
        </c:dLbls>
        <c:gapWidth val="219"/>
        <c:overlap val="-27"/>
        <c:axId val="532494016"/>
        <c:axId val="532494496"/>
        <c:extLst>
          <c:ext xmlns:c15="http://schemas.microsoft.com/office/drawing/2012/chart" uri="{02D57815-91ED-43cb-92C2-25804820EDAC}">
            <c15:filteredBarSeries>
              <c15:ser>
                <c:idx val="0"/>
                <c:order val="0"/>
                <c:tx>
                  <c:strRef>
                    <c:extLst>
                      <c:ext uri="{02D57815-91ED-43cb-92C2-25804820EDAC}">
                        <c15:formulaRef>
                          <c15:sqref>'Outputs '!$B$246</c15:sqref>
                        </c15:formulaRef>
                      </c:ext>
                    </c:extLst>
                    <c:strCache>
                      <c:ptCount val="1"/>
                      <c:pt idx="0">
                        <c:v>Investor Returns</c:v>
                      </c:pt>
                    </c:strCache>
                  </c:strRef>
                </c:tx>
                <c:spPr>
                  <a:solidFill>
                    <a:schemeClr val="accent1"/>
                  </a:solidFill>
                  <a:ln>
                    <a:noFill/>
                  </a:ln>
                  <a:effectLst/>
                </c:spPr>
                <c:invertIfNegative val="0"/>
                <c:val>
                  <c:numRef>
                    <c:extLst>
                      <c:ext uri="{02D57815-91ED-43cb-92C2-25804820EDAC}">
                        <c15:formulaRef>
                          <c15:sqref>'Outputs '!$B$247:$B$251</c15:sqref>
                        </c15:formulaRef>
                      </c:ext>
                    </c:extLst>
                    <c:numCache>
                      <c:formatCode>"Year "0</c:formatCode>
                      <c:ptCount val="5"/>
                      <c:pt idx="0">
                        <c:v>1</c:v>
                      </c:pt>
                      <c:pt idx="1">
                        <c:v>2</c:v>
                      </c:pt>
                      <c:pt idx="2">
                        <c:v>3</c:v>
                      </c:pt>
                      <c:pt idx="3">
                        <c:v>4</c:v>
                      </c:pt>
                      <c:pt idx="4">
                        <c:v>5</c:v>
                      </c:pt>
                    </c:numCache>
                  </c:numRef>
                </c:val>
                <c:extLst>
                  <c:ext xmlns:c16="http://schemas.microsoft.com/office/drawing/2014/chart" uri="{C3380CC4-5D6E-409C-BE32-E72D297353CC}">
                    <c16:uniqueId val="{00000000-22ED-4680-83B8-651FD3BC539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'Outputs '!$C$246</c15:sqref>
                        </c15:formulaRef>
                      </c:ext>
                    </c:extLst>
                    <c:strCache>
                      <c:ptCount val="1"/>
                    </c:strCache>
                  </c:strRef>
                </c:tx>
                <c:spPr>
                  <a:solidFill>
                    <a:schemeClr val="accent2"/>
                  </a:solidFill>
                  <a:ln>
                    <a:noFill/>
                  </a:ln>
                  <a:effectLst/>
                </c:spPr>
                <c:invertIfNegative val="0"/>
                <c:val>
                  <c:numRef>
                    <c:extLst xmlns:c15="http://schemas.microsoft.com/office/drawing/2012/chart">
                      <c:ext xmlns:c15="http://schemas.microsoft.com/office/drawing/2012/chart" uri="{02D57815-91ED-43cb-92C2-25804820EDAC}">
                        <c15:formulaRef>
                          <c15:sqref>'Outputs '!$C$247:$C$251</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1-22ED-4680-83B8-651FD3BC539D}"/>
                  </c:ext>
                </c:extLst>
              </c15:ser>
            </c15:filteredBarSeries>
          </c:ext>
        </c:extLst>
      </c:barChart>
      <c:lineChart>
        <c:grouping val="standard"/>
        <c:varyColors val="0"/>
        <c:ser>
          <c:idx val="3"/>
          <c:order val="3"/>
          <c:tx>
            <c:strRef>
              <c:f>'Outputs '!$E$246</c:f>
              <c:strCache>
                <c:ptCount val="1"/>
                <c:pt idx="0">
                  <c:v>MOIC</c:v>
                </c:pt>
              </c:strCache>
            </c:strRef>
          </c:tx>
          <c:spPr>
            <a:ln w="28575" cap="rnd">
              <a:solidFill>
                <a:srgbClr val="EB33CC"/>
              </a:solidFill>
              <a:round/>
            </a:ln>
            <a:effectLst/>
          </c:spPr>
          <c:marker>
            <c:symbol val="diamond"/>
            <c:size val="7"/>
            <c:spPr>
              <a:solidFill>
                <a:schemeClr val="bg1"/>
              </a:solidFill>
              <a:ln w="9525">
                <a:solidFill>
                  <a:srgbClr val="EB33CC"/>
                </a:solidFill>
              </a:ln>
              <a:effectLst/>
            </c:spPr>
          </c:marker>
          <c:val>
            <c:numRef>
              <c:f>'Outputs '!$E$247:$E$251</c:f>
              <c:numCache>
                <c:formatCode>_(0.0\x_);\(0.0\x\);"-"</c:formatCode>
                <c:ptCount val="5"/>
                <c:pt idx="0">
                  <c:v>1.2793547550591653</c:v>
                </c:pt>
                <c:pt idx="1">
                  <c:v>1.4905231729266242</c:v>
                </c:pt>
                <c:pt idx="2">
                  <c:v>1.7209285654605908</c:v>
                </c:pt>
                <c:pt idx="3">
                  <c:v>1.9725500705904069</c:v>
                </c:pt>
                <c:pt idx="4">
                  <c:v>2.2455251669970728</c:v>
                </c:pt>
              </c:numCache>
            </c:numRef>
          </c:val>
          <c:smooth val="0"/>
          <c:extLst>
            <c:ext xmlns:c16="http://schemas.microsoft.com/office/drawing/2014/chart" uri="{C3380CC4-5D6E-409C-BE32-E72D297353CC}">
              <c16:uniqueId val="{00000003-22ED-4680-83B8-651FD3BC539D}"/>
            </c:ext>
          </c:extLst>
        </c:ser>
        <c:dLbls>
          <c:showLegendKey val="0"/>
          <c:showVal val="0"/>
          <c:showCatName val="0"/>
          <c:showSerName val="0"/>
          <c:showPercent val="0"/>
          <c:showBubbleSize val="0"/>
        </c:dLbls>
        <c:marker val="1"/>
        <c:smooth val="0"/>
        <c:axId val="1981659183"/>
        <c:axId val="1443594159"/>
      </c:lineChart>
      <c:catAx>
        <c:axId val="532494016"/>
        <c:scaling>
          <c:orientation val="minMax"/>
        </c:scaling>
        <c:delete val="0"/>
        <c:axPos val="b"/>
        <c:numFmt formatCode="&quot;Year &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32494496"/>
        <c:crosses val="autoZero"/>
        <c:auto val="1"/>
        <c:lblAlgn val="ctr"/>
        <c:lblOffset val="100"/>
        <c:noMultiLvlLbl val="0"/>
      </c:catAx>
      <c:valAx>
        <c:axId val="532494496"/>
        <c:scaling>
          <c:orientation val="minMax"/>
          <c:min val="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32494016"/>
        <c:crosses val="autoZero"/>
        <c:crossBetween val="between"/>
      </c:valAx>
      <c:valAx>
        <c:axId val="1443594159"/>
        <c:scaling>
          <c:orientation val="minMax"/>
        </c:scaling>
        <c:delete val="0"/>
        <c:axPos val="r"/>
        <c:numFmt formatCode="_(0.0\x_);\(0.0\x\);&quot;-&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981659183"/>
        <c:crosses val="max"/>
        <c:crossBetween val="between"/>
      </c:valAx>
      <c:catAx>
        <c:axId val="1981659183"/>
        <c:scaling>
          <c:orientation val="minMax"/>
        </c:scaling>
        <c:delete val="1"/>
        <c:axPos val="b"/>
        <c:majorTickMark val="out"/>
        <c:minorTickMark val="none"/>
        <c:tickLblPos val="nextTo"/>
        <c:crossAx val="1443594159"/>
        <c:crosses val="autoZero"/>
        <c:auto val="1"/>
        <c:lblAlgn val="ctr"/>
        <c:lblOffset val="100"/>
        <c:noMultiLvlLbl val="0"/>
      </c:catAx>
      <c:spPr>
        <a:noFill/>
        <a:ln>
          <a:noFill/>
        </a:ln>
        <a:effectLst/>
      </c:spPr>
    </c:plotArea>
    <c:legend>
      <c:legendPos val="b"/>
      <c:layout>
        <c:manualLayout>
          <c:xMode val="edge"/>
          <c:yMode val="edge"/>
          <c:x val="0.36025791363171894"/>
          <c:y val="5.5040008759044128E-2"/>
          <c:w val="0.26838077232018448"/>
          <c:h val="7.821607467085155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Model!$B$13:$E$13</c:f>
              <c:strCache>
                <c:ptCount val="4"/>
                <c:pt idx="0">
                  <c:v>Revenue</c:v>
                </c:pt>
              </c:strCache>
            </c:strRef>
          </c:tx>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Model!$F$11:$R$11</c15:sqref>
                  </c15:fullRef>
                </c:ext>
              </c:extLst>
              <c:f>Model!$J$11:$P$11</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Model!$F$13:$R$13</c15:sqref>
                  </c15:fullRef>
                </c:ext>
              </c:extLst>
              <c:f>Model!$J$13:$P$13</c:f>
              <c:numCache>
                <c:formatCode>_(#,##0_);\(#,##0\);_("–"_);_(@_)</c:formatCode>
                <c:ptCount val="7"/>
                <c:pt idx="0">
                  <c:v>1490.39978</c:v>
                </c:pt>
                <c:pt idx="1">
                  <c:v>1553.1775401</c:v>
                </c:pt>
                <c:pt idx="2">
                  <c:v>1640.7938175825002</c:v>
                </c:pt>
                <c:pt idx="3">
                  <c:v>1745.6284637163076</c:v>
                </c:pt>
                <c:pt idx="4">
                  <c:v>1855.5275073723451</c:v>
                </c:pt>
                <c:pt idx="5">
                  <c:v>1970.2579839321879</c:v>
                </c:pt>
                <c:pt idx="6">
                  <c:v>2089.5359369187331</c:v>
                </c:pt>
              </c:numCache>
            </c:numRef>
          </c:val>
          <c:extLst>
            <c:ext xmlns:c16="http://schemas.microsoft.com/office/drawing/2014/chart" uri="{C3380CC4-5D6E-409C-BE32-E72D297353CC}">
              <c16:uniqueId val="{00000005-0837-49F9-8790-793A2F8FECB9}"/>
            </c:ext>
          </c:extLst>
        </c:ser>
        <c:dLbls>
          <c:showLegendKey val="0"/>
          <c:showVal val="0"/>
          <c:showCatName val="0"/>
          <c:showSerName val="0"/>
          <c:showPercent val="0"/>
          <c:showBubbleSize val="0"/>
        </c:dLbls>
        <c:gapWidth val="219"/>
        <c:overlap val="-27"/>
        <c:axId val="62948208"/>
        <c:axId val="62934288"/>
        <c:extLst>
          <c:ext xmlns:c15="http://schemas.microsoft.com/office/drawing/2012/chart" uri="{02D57815-91ED-43cb-92C2-25804820EDAC}">
            <c15:filteredBarSeries>
              <c15:ser>
                <c:idx val="0"/>
                <c:order val="0"/>
                <c:tx>
                  <c:strRef>
                    <c:extLst>
                      <c:ext uri="{02D57815-91ED-43cb-92C2-25804820EDAC}">
                        <c15:formulaRef>
                          <c15:sqref>Model!$B$12:$E$12</c15:sqref>
                        </c15:formulaRef>
                      </c:ext>
                    </c:extLst>
                    <c:strCache>
                      <c:ptCount val="4"/>
                      <c:pt idx="0">
                        <c:v>All figures in £GBP mm unless stated</c:v>
                      </c:pt>
                    </c:strCache>
                  </c:strRef>
                </c:tx>
                <c:spPr>
                  <a:solidFill>
                    <a:schemeClr val="accent1"/>
                  </a:solidFill>
                  <a:ln>
                    <a:noFill/>
                  </a:ln>
                  <a:effectLst/>
                </c:spPr>
                <c:invertIfNegative val="0"/>
                <c:cat>
                  <c:numRef>
                    <c:extLst>
                      <c:ext uri="{02D57815-91ED-43cb-92C2-25804820EDAC}">
                        <c15:fullRef>
                          <c15:sqref>Model!$F$11:$R$11</c15:sqref>
                        </c15:fullRef>
                        <c15:formulaRef>
                          <c15:sqref>Model!$J$11:$P$11</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uri="{02D57815-91ED-43cb-92C2-25804820EDAC}">
                        <c15:fullRef>
                          <c15:sqref>Model!$F$12:$R$12</c15:sqref>
                        </c15:fullRef>
                        <c15:formulaRef>
                          <c15:sqref>Model!$J$12:$P$12</c15:sqref>
                        </c15:formulaRef>
                      </c:ext>
                    </c:extLst>
                    <c:numCache>
                      <c:formatCode>0"A"</c:formatCode>
                      <c:ptCount val="7"/>
                    </c:numCache>
                  </c:numRef>
                </c:val>
                <c:extLst>
                  <c:ext xmlns:c16="http://schemas.microsoft.com/office/drawing/2014/chart" uri="{C3380CC4-5D6E-409C-BE32-E72D297353CC}">
                    <c16:uniqueId val="{00000004-0837-49F9-8790-793A2F8FECB9}"/>
                  </c:ext>
                </c:extLst>
              </c15:ser>
            </c15:filteredBarSeries>
          </c:ext>
        </c:extLst>
      </c:barChart>
      <c:catAx>
        <c:axId val="62948208"/>
        <c:scaling>
          <c:orientation val="minMax"/>
        </c:scaling>
        <c:delete val="0"/>
        <c:axPos val="b"/>
        <c:numFmt formatCode="0&quot;E&quot;"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934288"/>
        <c:crosses val="autoZero"/>
        <c:auto val="1"/>
        <c:lblAlgn val="ctr"/>
        <c:lblOffset val="100"/>
        <c:noMultiLvlLbl val="0"/>
      </c:catAx>
      <c:valAx>
        <c:axId val="62934288"/>
        <c:scaling>
          <c:orientation val="minMax"/>
        </c:scaling>
        <c:delete val="0"/>
        <c:axPos val="l"/>
        <c:numFmt formatCode="_(#,##0_);\(#,##0\);_(&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9482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0"/>
          <c:order val="10"/>
          <c:tx>
            <c:strRef>
              <c:f>'Outputs '!$B$50:$K$50</c:f>
              <c:strCache>
                <c:ptCount val="10"/>
                <c:pt idx="0">
                  <c:v>Net debt</c:v>
                </c:pt>
              </c:strCache>
            </c:strRef>
          </c:tx>
          <c:spPr>
            <a:solidFill>
              <a:srgbClr val="7030A0"/>
            </a:solidFill>
            <a:ln>
              <a:noFill/>
            </a:ln>
            <a:effectLst/>
          </c:spPr>
          <c:invertIfNegative val="0"/>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'!$L$50:$R$50</c:f>
              <c:numCache>
                <c:formatCode>_(#,##0_);\(#,##0\);_("–"_);_(@_)</c:formatCode>
                <c:ptCount val="7"/>
                <c:pt idx="0">
                  <c:v>486.47854527951677</c:v>
                </c:pt>
                <c:pt idx="1">
                  <c:v>1650.28569493383</c:v>
                </c:pt>
                <c:pt idx="2">
                  <c:v>1561.4380645389431</c:v>
                </c:pt>
                <c:pt idx="3">
                  <c:v>1460.5799257909759</c:v>
                </c:pt>
                <c:pt idx="4">
                  <c:v>1343.7203304046359</c:v>
                </c:pt>
                <c:pt idx="5">
                  <c:v>1205.8607735492176</c:v>
                </c:pt>
                <c:pt idx="6">
                  <c:v>1047.2974325370021</c:v>
                </c:pt>
              </c:numCache>
            </c:numRef>
          </c:val>
          <c:extLst>
            <c:ext xmlns:c16="http://schemas.microsoft.com/office/drawing/2014/chart" uri="{C3380CC4-5D6E-409C-BE32-E72D297353CC}">
              <c16:uniqueId val="{0000000A-6868-4108-9D53-09BADC8253D4}"/>
            </c:ext>
          </c:extLst>
        </c:ser>
        <c:dLbls>
          <c:showLegendKey val="0"/>
          <c:showVal val="0"/>
          <c:showCatName val="0"/>
          <c:showSerName val="0"/>
          <c:showPercent val="0"/>
          <c:showBubbleSize val="0"/>
        </c:dLbls>
        <c:gapWidth val="219"/>
        <c:overlap val="-27"/>
        <c:axId val="535988240"/>
        <c:axId val="535988720"/>
        <c:extLst>
          <c:ext xmlns:c15="http://schemas.microsoft.com/office/drawing/2012/chart" uri="{02D57815-91ED-43cb-92C2-25804820EDAC}">
            <c15:filteredBarSeries>
              <c15:ser>
                <c:idx val="0"/>
                <c:order val="0"/>
                <c:tx>
                  <c:strRef>
                    <c:extLst>
                      <c:ext uri="{02D57815-91ED-43cb-92C2-25804820EDAC}">
                        <c15:formulaRef>
                          <c15:sqref>'Outputs '!$B$40:$K$40</c15:sqref>
                        </c15:formulaRef>
                      </c:ext>
                    </c:extLst>
                    <c:strCache>
                      <c:ptCount val="10"/>
                      <c:pt idx="0">
                        <c:v>Financial Projections</c:v>
                      </c:pt>
                    </c:strCache>
                  </c:strRef>
                </c:tx>
                <c:spPr>
                  <a:solidFill>
                    <a:schemeClr val="accent1"/>
                  </a:solidFill>
                  <a:ln>
                    <a:noFill/>
                  </a:ln>
                  <a:effectLst/>
                </c:spPr>
                <c:invertIfNegative val="0"/>
                <c:cat>
                  <c:numRef>
                    <c:extLst>
                      <c:ex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c:ext uri="{02D57815-91ED-43cb-92C2-25804820EDAC}">
                        <c15:formulaRef>
                          <c15:sqref>'Outputs '!$L$40:$R$40</c15:sqref>
                        </c15:formulaRef>
                      </c:ext>
                    </c:extLst>
                    <c:numCache>
                      <c:formatCode>General</c:formatCode>
                      <c:ptCount val="7"/>
                    </c:numCache>
                  </c:numRef>
                </c:val>
                <c:extLst>
                  <c:ext xmlns:c16="http://schemas.microsoft.com/office/drawing/2014/chart" uri="{C3380CC4-5D6E-409C-BE32-E72D297353CC}">
                    <c16:uniqueId val="{00000000-6868-4108-9D53-09BADC8253D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'Outputs '!$B$41:$K$41</c15:sqref>
                        </c15:formulaRef>
                      </c:ext>
                    </c:extLst>
                    <c:strCache>
                      <c:ptCount val="10"/>
                      <c:pt idx="0">
                        <c:v>EBITDA</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'!$L$41:$R$41</c15:sqref>
                        </c15:formulaRef>
                      </c:ext>
                    </c:extLst>
                    <c:numCache>
                      <c:formatCode>_(#,##0_);\(#,##0\);_("–"_);_(@_)</c:formatCode>
                      <c:ptCount val="7"/>
                      <c:pt idx="0">
                        <c:v>223.7736662420532</c:v>
                      </c:pt>
                      <c:pt idx="1">
                        <c:v>249.20657956483035</c:v>
                      </c:pt>
                      <c:pt idx="2">
                        <c:v>272.35789003494574</c:v>
                      </c:pt>
                      <c:pt idx="3">
                        <c:v>299.37997603380779</c:v>
                      </c:pt>
                      <c:pt idx="4">
                        <c:v>328.52297118931517</c:v>
                      </c:pt>
                      <c:pt idx="5">
                        <c:v>359.83743330859181</c:v>
                      </c:pt>
                      <c:pt idx="6">
                        <c:v>393.35905038784438</c:v>
                      </c:pt>
                    </c:numCache>
                  </c:numRef>
                </c:val>
                <c:extLst xmlns:c15="http://schemas.microsoft.com/office/drawing/2012/chart">
                  <c:ext xmlns:c16="http://schemas.microsoft.com/office/drawing/2014/chart" uri="{C3380CC4-5D6E-409C-BE32-E72D297353CC}">
                    <c16:uniqueId val="{00000001-6868-4108-9D53-09BADC8253D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'Outputs '!$B$42:$K$42</c15:sqref>
                        </c15:formulaRef>
                      </c:ext>
                    </c:extLst>
                    <c:strCache>
                      <c:ptCount val="10"/>
                      <c:pt idx="0">
                        <c:v>Tax Expense</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'!$L$42:$R$42</c15:sqref>
                        </c15:formulaRef>
                      </c:ext>
                    </c:extLst>
                    <c:numCache>
                      <c:formatCode>_(#,##0_);\(#,##0\);_("–"_);_(@_)</c:formatCode>
                      <c:ptCount val="7"/>
                      <c:pt idx="0">
                        <c:v>30.827236865811759</c:v>
                      </c:pt>
                      <c:pt idx="1">
                        <c:v>24.308449455363078</c:v>
                      </c:pt>
                      <c:pt idx="2">
                        <c:v>24.395239796041174</c:v>
                      </c:pt>
                      <c:pt idx="3">
                        <c:v>30.266156080881103</c:v>
                      </c:pt>
                      <c:pt idx="4">
                        <c:v>37.029510567658214</c:v>
                      </c:pt>
                      <c:pt idx="5">
                        <c:v>45.543150576284212</c:v>
                      </c:pt>
                      <c:pt idx="6">
                        <c:v>54.193956556259629</c:v>
                      </c:pt>
                    </c:numCache>
                  </c:numRef>
                </c:val>
                <c:extLst xmlns:c15="http://schemas.microsoft.com/office/drawing/2012/chart">
                  <c:ext xmlns:c16="http://schemas.microsoft.com/office/drawing/2014/chart" uri="{C3380CC4-5D6E-409C-BE32-E72D297353CC}">
                    <c16:uniqueId val="{00000002-6868-4108-9D53-09BADC8253D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'Outputs '!$B$43:$K$43</c15:sqref>
                        </c15:formulaRef>
                      </c:ext>
                    </c:extLst>
                    <c:strCache>
                      <c:ptCount val="10"/>
                      <c:pt idx="0">
                        <c:v>CapEx</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'!$L$43:$R$43</c15:sqref>
                        </c15:formulaRef>
                      </c:ext>
                    </c:extLst>
                    <c:numCache>
                      <c:formatCode>_(#,##0_);\(#,##0\);_("–"_);_(@_)</c:formatCode>
                      <c:ptCount val="7"/>
                      <c:pt idx="0">
                        <c:v>47.050000000000075</c:v>
                      </c:pt>
                      <c:pt idx="1">
                        <c:v>52.459996789828644</c:v>
                      </c:pt>
                      <c:pt idx="2">
                        <c:v>59.040888021288154</c:v>
                      </c:pt>
                      <c:pt idx="3">
                        <c:v>66.666128915173871</c:v>
                      </c:pt>
                      <c:pt idx="4">
                        <c:v>74.958742458651514</c:v>
                      </c:pt>
                      <c:pt idx="5">
                        <c:v>83.942337769624473</c:v>
                      </c:pt>
                      <c:pt idx="6">
                        <c:v>93.636182117085667</c:v>
                      </c:pt>
                    </c:numCache>
                  </c:numRef>
                </c:val>
                <c:extLst xmlns:c15="http://schemas.microsoft.com/office/drawing/2012/chart">
                  <c:ext xmlns:c16="http://schemas.microsoft.com/office/drawing/2014/chart" uri="{C3380CC4-5D6E-409C-BE32-E72D297353CC}">
                    <c16:uniqueId val="{00000003-6868-4108-9D53-09BADC8253D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'Outputs '!$B$44:$K$44</c15:sqref>
                        </c15:formulaRef>
                      </c:ext>
                    </c:extLst>
                    <c:strCache>
                      <c:ptCount val="10"/>
                      <c:pt idx="0">
                        <c:v>CapEx, % of Revenue</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'!$L$44:$R$44</c15:sqref>
                        </c15:formulaRef>
                      </c:ext>
                    </c:extLst>
                    <c:numCache>
                      <c:formatCode>0.0%</c:formatCode>
                      <c:ptCount val="7"/>
                      <c:pt idx="0">
                        <c:v>3.1568711047448003E-2</c:v>
                      </c:pt>
                      <c:pt idx="1">
                        <c:v>3.3775917714114673E-2</c:v>
                      </c:pt>
                      <c:pt idx="2">
                        <c:v>3.5983124380781342E-2</c:v>
                      </c:pt>
                      <c:pt idx="3">
                        <c:v>3.8190331047448012E-2</c:v>
                      </c:pt>
                      <c:pt idx="4">
                        <c:v>4.0397537714114681E-2</c:v>
                      </c:pt>
                      <c:pt idx="5">
                        <c:v>4.2604744380781351E-2</c:v>
                      </c:pt>
                      <c:pt idx="6">
                        <c:v>4.4811951047448007E-2</c:v>
                      </c:pt>
                    </c:numCache>
                  </c:numRef>
                </c:val>
                <c:extLst xmlns:c15="http://schemas.microsoft.com/office/drawing/2012/chart">
                  <c:ext xmlns:c16="http://schemas.microsoft.com/office/drawing/2014/chart" uri="{C3380CC4-5D6E-409C-BE32-E72D297353CC}">
                    <c16:uniqueId val="{00000004-6868-4108-9D53-09BADC8253D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'Outputs '!$B$45:$K$45</c15:sqref>
                        </c15:formulaRef>
                      </c:ext>
                    </c:extLst>
                    <c:strCache>
                      <c:ptCount val="10"/>
                      <c:pt idx="0">
                        <c:v>Total Interest Expense</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'!$L$45:$R$45</c15:sqref>
                        </c15:formulaRef>
                      </c:ext>
                    </c:extLst>
                    <c:numCache>
                      <c:formatCode>_(#,##0_);\(#,##0\);_("–"_);_(@_)</c:formatCode>
                      <c:ptCount val="7"/>
                      <c:pt idx="0">
                        <c:v>27.692184949288517</c:v>
                      </c:pt>
                      <c:pt idx="1">
                        <c:v>72.847382228457661</c:v>
                      </c:pt>
                      <c:pt idx="2">
                        <c:v>91.733237789579547</c:v>
                      </c:pt>
                      <c:pt idx="3">
                        <c:v>91.064285868854157</c:v>
                      </c:pt>
                      <c:pt idx="4">
                        <c:v>88.730755905452341</c:v>
                      </c:pt>
                      <c:pt idx="5">
                        <c:v>81.153106145899002</c:v>
                      </c:pt>
                      <c:pt idx="6">
                        <c:v>75.237676759856569</c:v>
                      </c:pt>
                    </c:numCache>
                  </c:numRef>
                </c:val>
                <c:extLst xmlns:c15="http://schemas.microsoft.com/office/drawing/2012/chart">
                  <c:ext xmlns:c16="http://schemas.microsoft.com/office/drawing/2014/chart" uri="{C3380CC4-5D6E-409C-BE32-E72D297353CC}">
                    <c16:uniqueId val="{00000005-6868-4108-9D53-09BADC8253D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'Outputs '!$B$46:$K$46</c15:sqref>
                        </c15:formulaRef>
                      </c:ext>
                    </c:extLst>
                    <c:strCache>
                      <c:ptCount val="10"/>
                      <c:pt idx="0">
                        <c:v>Mandatory Principal Repayments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'!$L$46:$R$46</c15:sqref>
                        </c15:formulaRef>
                      </c:ext>
                    </c:extLst>
                    <c:numCache>
                      <c:formatCode>_(#,##0_);\(#,##0\);_("–"_);_(@_)</c:formatCode>
                      <c:ptCount val="7"/>
                      <c:pt idx="0">
                        <c:v>0</c:v>
                      </c:pt>
                      <c:pt idx="1">
                        <c:v>0</c:v>
                      </c:pt>
                      <c:pt idx="2">
                        <c:v>6.84</c:v>
                      </c:pt>
                      <c:pt idx="3">
                        <c:v>6.7715999999999994</c:v>
                      </c:pt>
                      <c:pt idx="4">
                        <c:v>6.5410094568368349</c:v>
                      </c:pt>
                      <c:pt idx="5">
                        <c:v>5.9306630237578792</c:v>
                      </c:pt>
                      <c:pt idx="6">
                        <c:v>5.2183077329417635</c:v>
                      </c:pt>
                    </c:numCache>
                  </c:numRef>
                </c:val>
                <c:extLst xmlns:c15="http://schemas.microsoft.com/office/drawing/2012/chart">
                  <c:ext xmlns:c16="http://schemas.microsoft.com/office/drawing/2014/chart" uri="{C3380CC4-5D6E-409C-BE32-E72D297353CC}">
                    <c16:uniqueId val="{00000006-6868-4108-9D53-09BADC8253D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'Outputs '!$B$47:$K$47</c15:sqref>
                        </c15:formulaRef>
                      </c:ext>
                    </c:extLst>
                    <c:strCache>
                      <c:ptCount val="10"/>
                      <c:pt idx="0">
                        <c:v>Total Principal Repayments</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'!$L$47:$R$47</c15:sqref>
                        </c15:formulaRef>
                      </c:ext>
                    </c:extLst>
                    <c:numCache>
                      <c:formatCode>_(#,##0_);\(#,##0\);_("–"_);_(@_)</c:formatCode>
                      <c:ptCount val="7"/>
                      <c:pt idx="0">
                        <c:v>136.00233265726615</c:v>
                      </c:pt>
                      <c:pt idx="1">
                        <c:v>518.69766734273378</c:v>
                      </c:pt>
                      <c:pt idx="2">
                        <c:v>87.779675954020234</c:v>
                      </c:pt>
                      <c:pt idx="3">
                        <c:v>99.526405211700137</c:v>
                      </c:pt>
                      <c:pt idx="4">
                        <c:v>115.52827715895413</c:v>
                      </c:pt>
                      <c:pt idx="5">
                        <c:v>136.54039513946532</c:v>
                      </c:pt>
                      <c:pt idx="6">
                        <c:v>157.2685877147191</c:v>
                      </c:pt>
                    </c:numCache>
                  </c:numRef>
                </c:val>
                <c:extLst xmlns:c15="http://schemas.microsoft.com/office/drawing/2012/chart">
                  <c:ext xmlns:c16="http://schemas.microsoft.com/office/drawing/2014/chart" uri="{C3380CC4-5D6E-409C-BE32-E72D297353CC}">
                    <c16:uniqueId val="{00000007-6868-4108-9D53-09BADC8253D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'Outputs '!$B$48:$K$48</c15:sqref>
                        </c15:formulaRef>
                      </c:ext>
                    </c:extLst>
                    <c:strCache>
                      <c:ptCount val="10"/>
                      <c:pt idx="0">
                        <c:v>Total Debt</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'!$L$48:$R$48</c15:sqref>
                        </c15:formulaRef>
                      </c:ext>
                    </c:extLst>
                    <c:numCache>
                      <c:formatCode>_(#,##0_);\(#,##0\);_("–"_);_(@_)</c:formatCode>
                      <c:ptCount val="7"/>
                      <c:pt idx="0">
                        <c:v>518.69766734273378</c:v>
                      </c:pt>
                      <c:pt idx="1">
                        <c:v>1683.1195725330872</c:v>
                      </c:pt>
                      <c:pt idx="2">
                        <c:v>1595.339896579067</c:v>
                      </c:pt>
                      <c:pt idx="3">
                        <c:v>1495.8134913673666</c:v>
                      </c:pt>
                      <c:pt idx="4">
                        <c:v>1380.285214208413</c:v>
                      </c:pt>
                      <c:pt idx="5">
                        <c:v>1243.7448190689474</c:v>
                      </c:pt>
                      <c:pt idx="6">
                        <c:v>1086.4762313542283</c:v>
                      </c:pt>
                    </c:numCache>
                  </c:numRef>
                </c:val>
                <c:extLst xmlns:c15="http://schemas.microsoft.com/office/drawing/2012/chart">
                  <c:ext xmlns:c16="http://schemas.microsoft.com/office/drawing/2014/chart" uri="{C3380CC4-5D6E-409C-BE32-E72D297353CC}">
                    <c16:uniqueId val="{00000008-6868-4108-9D53-09BADC8253D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'Outputs '!$B$49:$K$49</c15:sqref>
                        </c15:formulaRef>
                      </c:ext>
                    </c:extLst>
                    <c:strCache>
                      <c:ptCount val="10"/>
                      <c:pt idx="0">
                        <c:v>Cash</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'!$L$49:$R$49</c15:sqref>
                        </c15:formulaRef>
                      </c:ext>
                    </c:extLst>
                    <c:numCache>
                      <c:formatCode>_(#,##0_);\(#,##0\);_("–"_);_(@_)</c:formatCode>
                      <c:ptCount val="7"/>
                      <c:pt idx="0">
                        <c:v>32.219122063217029</c:v>
                      </c:pt>
                      <c:pt idx="1">
                        <c:v>32.833877599257235</c:v>
                      </c:pt>
                      <c:pt idx="2">
                        <c:v>33.901832040124006</c:v>
                      </c:pt>
                      <c:pt idx="3">
                        <c:v>35.233565576390717</c:v>
                      </c:pt>
                      <c:pt idx="4">
                        <c:v>36.564883803777107</c:v>
                      </c:pt>
                      <c:pt idx="5">
                        <c:v>37.884045519729952</c:v>
                      </c:pt>
                      <c:pt idx="6">
                        <c:v>39.178798817226252</c:v>
                      </c:pt>
                    </c:numCache>
                  </c:numRef>
                </c:val>
                <c:extLst xmlns:c15="http://schemas.microsoft.com/office/drawing/2012/chart">
                  <c:ext xmlns:c16="http://schemas.microsoft.com/office/drawing/2014/chart" uri="{C3380CC4-5D6E-409C-BE32-E72D297353CC}">
                    <c16:uniqueId val="{00000009-6868-4108-9D53-09BADC8253D4}"/>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'Outputs '!$B$52:$K$52</c15:sqref>
                        </c15:formulaRef>
                      </c:ext>
                    </c:extLst>
                    <c:strCache>
                      <c:ptCount val="10"/>
                      <c:pt idx="0">
                        <c:v>EBITDA Margin</c:v>
                      </c:pt>
                    </c:strCache>
                  </c:strRef>
                </c:tx>
                <c:spPr>
                  <a:solidFill>
                    <a:schemeClr val="accent6">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'!$L$52:$R$52</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B-6868-4108-9D53-09BADC8253D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'Outputs '!$B$53:$K$53</c15:sqref>
                        </c15:formulaRef>
                      </c:ext>
                    </c:extLst>
                    <c:strCache>
                      <c:ptCount val="10"/>
                      <c:pt idx="0">
                        <c:v>Total Debt/EBITDA</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'!$L$53:$R$53</c15:sqref>
                        </c15:formulaRef>
                      </c:ext>
                    </c:extLst>
                    <c:numCache>
                      <c:formatCode>_(0.0\x_);\(0.0\x\);"-"</c:formatCode>
                      <c:ptCount val="7"/>
                      <c:pt idx="0">
                        <c:v>2.3179566928204367</c:v>
                      </c:pt>
                      <c:pt idx="1">
                        <c:v>6.753913060691195</c:v>
                      </c:pt>
                      <c:pt idx="2">
                        <c:v>5.8575130552464332</c:v>
                      </c:pt>
                      <c:pt idx="3">
                        <c:v>4.9963712041931965</c:v>
                      </c:pt>
                      <c:pt idx="4">
                        <c:v>4.2014876743976837</c:v>
                      </c:pt>
                      <c:pt idx="5">
                        <c:v>3.4564075439097754</c:v>
                      </c:pt>
                      <c:pt idx="6">
                        <c:v>2.7620471177235757</c:v>
                      </c:pt>
                    </c:numCache>
                  </c:numRef>
                </c:val>
                <c:extLst xmlns:c15="http://schemas.microsoft.com/office/drawing/2012/chart">
                  <c:ext xmlns:c16="http://schemas.microsoft.com/office/drawing/2014/chart" uri="{C3380CC4-5D6E-409C-BE32-E72D297353CC}">
                    <c16:uniqueId val="{0000000C-6868-4108-9D53-09BADC8253D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'Outputs '!$B$54:$K$54</c15:sqref>
                        </c15:formulaRef>
                      </c:ext>
                    </c:extLst>
                    <c:strCache>
                      <c:ptCount val="10"/>
                      <c:pt idx="0">
                        <c:v>Debt Service Coverage Ratio</c:v>
                      </c:pt>
                    </c:strCache>
                  </c:strRef>
                </c:tx>
                <c:spPr>
                  <a:solidFill>
                    <a:schemeClr val="accent2">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'!$L$54:$R$54</c15:sqref>
                        </c15:formulaRef>
                      </c:ext>
                    </c:extLst>
                    <c:numCache>
                      <c:formatCode>_(0.0\x_);\(0.0\x\);"-"</c:formatCode>
                      <c:ptCount val="7"/>
                      <c:pt idx="0">
                        <c:v>0.89127254540624512</c:v>
                      </c:pt>
                      <c:pt idx="1">
                        <c:v>0.29150465115824797</c:v>
                      </c:pt>
                      <c:pt idx="2">
                        <c:v>1.052413212385686</c:v>
                      </c:pt>
                      <c:pt idx="3">
                        <c:v>1.0622118524780788</c:v>
                      </c:pt>
                      <c:pt idx="4">
                        <c:v>1.0600986155394567</c:v>
                      </c:pt>
                      <c:pt idx="5">
                        <c:v>1.058148009024511</c:v>
                      </c:pt>
                      <c:pt idx="6">
                        <c:v>1.05600987684935</c:v>
                      </c:pt>
                    </c:numCache>
                  </c:numRef>
                </c:val>
                <c:extLst xmlns:c15="http://schemas.microsoft.com/office/drawing/2012/chart">
                  <c:ext xmlns:c16="http://schemas.microsoft.com/office/drawing/2014/chart" uri="{C3380CC4-5D6E-409C-BE32-E72D297353CC}">
                    <c16:uniqueId val="{0000000D-6868-4108-9D53-09BADC8253D4}"/>
                  </c:ext>
                </c:extLst>
              </c15:ser>
            </c15:filteredBarSeries>
          </c:ext>
        </c:extLst>
      </c:barChart>
      <c:catAx>
        <c:axId val="535988240"/>
        <c:scaling>
          <c:orientation val="minMax"/>
        </c:scaling>
        <c:delete val="0"/>
        <c:axPos val="b"/>
        <c:numFmt formatCode="General&quot;E&quot;"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35988720"/>
        <c:crosses val="autoZero"/>
        <c:auto val="1"/>
        <c:lblAlgn val="ctr"/>
        <c:lblOffset val="100"/>
        <c:noMultiLvlLbl val="0"/>
      </c:catAx>
      <c:valAx>
        <c:axId val="535988720"/>
        <c:scaling>
          <c:orientation val="minMax"/>
        </c:scaling>
        <c:delete val="0"/>
        <c:axPos val="l"/>
        <c:numFmt formatCode="&quot;£&quot;##,##0&quot;mn&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535988240"/>
        <c:crosses val="autoZero"/>
        <c:crossBetween val="between"/>
        <c:majorUnit val="4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'Outputs '!$B$41:$K$41</c:f>
              <c:strCache>
                <c:ptCount val="10"/>
                <c:pt idx="0">
                  <c:v>EBITDA</c:v>
                </c:pt>
              </c:strCache>
            </c:strRef>
          </c:tx>
          <c:spPr>
            <a:solidFill>
              <a:srgbClr val="7030A0"/>
            </a:solidFill>
            <a:ln>
              <a:noFill/>
            </a:ln>
            <a:effectLst/>
          </c:spPr>
          <c:invertIfNegative val="0"/>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'!$L$41:$R$41</c:f>
              <c:numCache>
                <c:formatCode>_(#,##0_);\(#,##0\);_("–"_);_(@_)</c:formatCode>
                <c:ptCount val="7"/>
                <c:pt idx="0">
                  <c:v>223.7736662420532</c:v>
                </c:pt>
                <c:pt idx="1">
                  <c:v>249.20657956483035</c:v>
                </c:pt>
                <c:pt idx="2">
                  <c:v>272.35789003494574</c:v>
                </c:pt>
                <c:pt idx="3">
                  <c:v>299.37997603380779</c:v>
                </c:pt>
                <c:pt idx="4">
                  <c:v>328.52297118931517</c:v>
                </c:pt>
                <c:pt idx="5">
                  <c:v>359.83743330859181</c:v>
                </c:pt>
                <c:pt idx="6">
                  <c:v>393.35905038784438</c:v>
                </c:pt>
              </c:numCache>
            </c:numRef>
          </c:val>
          <c:extLst>
            <c:ext xmlns:c16="http://schemas.microsoft.com/office/drawing/2014/chart" uri="{C3380CC4-5D6E-409C-BE32-E72D297353CC}">
              <c16:uniqueId val="{00000001-E29C-4B5E-AB68-453083EFB2E4}"/>
            </c:ext>
          </c:extLst>
        </c:ser>
        <c:dLbls>
          <c:showLegendKey val="0"/>
          <c:showVal val="0"/>
          <c:showCatName val="0"/>
          <c:showSerName val="0"/>
          <c:showPercent val="0"/>
          <c:showBubbleSize val="0"/>
        </c:dLbls>
        <c:gapWidth val="219"/>
        <c:axId val="1452220144"/>
        <c:axId val="1452236944"/>
        <c:extLst>
          <c:ext xmlns:c15="http://schemas.microsoft.com/office/drawing/2012/chart" uri="{02D57815-91ED-43cb-92C2-25804820EDAC}">
            <c15:filteredBarSeries>
              <c15:ser>
                <c:idx val="0"/>
                <c:order val="0"/>
                <c:tx>
                  <c:strRef>
                    <c:extLst>
                      <c:ext uri="{02D57815-91ED-43cb-92C2-25804820EDAC}">
                        <c15:formulaRef>
                          <c15:sqref>'Outputs '!$B$40:$K$40</c15:sqref>
                        </c15:formulaRef>
                      </c:ext>
                    </c:extLst>
                    <c:strCache>
                      <c:ptCount val="10"/>
                      <c:pt idx="0">
                        <c:v>Financial Projections</c:v>
                      </c:pt>
                    </c:strCache>
                  </c:strRef>
                </c:tx>
                <c:spPr>
                  <a:solidFill>
                    <a:schemeClr val="accent1"/>
                  </a:solidFill>
                  <a:ln>
                    <a:noFill/>
                  </a:ln>
                  <a:effectLst/>
                </c:spPr>
                <c:invertIfNegative val="0"/>
                <c:cat>
                  <c:numRef>
                    <c:extLst>
                      <c:ex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c:ext uri="{02D57815-91ED-43cb-92C2-25804820EDAC}">
                        <c15:formulaRef>
                          <c15:sqref>'Outputs '!$L$40:$R$40</c15:sqref>
                        </c15:formulaRef>
                      </c:ext>
                    </c:extLst>
                    <c:numCache>
                      <c:formatCode>General</c:formatCode>
                      <c:ptCount val="7"/>
                    </c:numCache>
                  </c:numRef>
                </c:val>
                <c:extLst>
                  <c:ext xmlns:c16="http://schemas.microsoft.com/office/drawing/2014/chart" uri="{C3380CC4-5D6E-409C-BE32-E72D297353CC}">
                    <c16:uniqueId val="{00000000-E29C-4B5E-AB68-453083EFB2E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'Outputs '!$B$42:$K$42</c15:sqref>
                        </c15:formulaRef>
                      </c:ext>
                    </c:extLst>
                    <c:strCache>
                      <c:ptCount val="10"/>
                      <c:pt idx="0">
                        <c:v>Tax Expense</c:v>
                      </c:pt>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'!$L$42:$R$42</c15:sqref>
                        </c15:formulaRef>
                      </c:ext>
                    </c:extLst>
                    <c:numCache>
                      <c:formatCode>_(#,##0_);\(#,##0\);_("–"_);_(@_)</c:formatCode>
                      <c:ptCount val="7"/>
                      <c:pt idx="0">
                        <c:v>30.827236865811759</c:v>
                      </c:pt>
                      <c:pt idx="1">
                        <c:v>24.308449455363078</c:v>
                      </c:pt>
                      <c:pt idx="2">
                        <c:v>24.395239796041174</c:v>
                      </c:pt>
                      <c:pt idx="3">
                        <c:v>30.266156080881103</c:v>
                      </c:pt>
                      <c:pt idx="4">
                        <c:v>37.029510567658214</c:v>
                      </c:pt>
                      <c:pt idx="5">
                        <c:v>45.543150576284212</c:v>
                      </c:pt>
                      <c:pt idx="6">
                        <c:v>54.193956556259629</c:v>
                      </c:pt>
                    </c:numCache>
                  </c:numRef>
                </c:val>
                <c:extLst xmlns:c15="http://schemas.microsoft.com/office/drawing/2012/chart">
                  <c:ext xmlns:c16="http://schemas.microsoft.com/office/drawing/2014/chart" uri="{C3380CC4-5D6E-409C-BE32-E72D297353CC}">
                    <c16:uniqueId val="{00000002-E29C-4B5E-AB68-453083EFB2E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'Outputs '!$B$43:$K$43</c15:sqref>
                        </c15:formulaRef>
                      </c:ext>
                    </c:extLst>
                    <c:strCache>
                      <c:ptCount val="10"/>
                      <c:pt idx="0">
                        <c:v>CapEx</c:v>
                      </c:pt>
                    </c:strCache>
                  </c:strRef>
                </c:tx>
                <c:spPr>
                  <a:solidFill>
                    <a:schemeClr val="accent4"/>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'!$L$43:$R$43</c15:sqref>
                        </c15:formulaRef>
                      </c:ext>
                    </c:extLst>
                    <c:numCache>
                      <c:formatCode>_(#,##0_);\(#,##0\);_("–"_);_(@_)</c:formatCode>
                      <c:ptCount val="7"/>
                      <c:pt idx="0">
                        <c:v>47.050000000000075</c:v>
                      </c:pt>
                      <c:pt idx="1">
                        <c:v>52.459996789828644</c:v>
                      </c:pt>
                      <c:pt idx="2">
                        <c:v>59.040888021288154</c:v>
                      </c:pt>
                      <c:pt idx="3">
                        <c:v>66.666128915173871</c:v>
                      </c:pt>
                      <c:pt idx="4">
                        <c:v>74.958742458651514</c:v>
                      </c:pt>
                      <c:pt idx="5">
                        <c:v>83.942337769624473</c:v>
                      </c:pt>
                      <c:pt idx="6">
                        <c:v>93.636182117085667</c:v>
                      </c:pt>
                    </c:numCache>
                  </c:numRef>
                </c:val>
                <c:extLst xmlns:c15="http://schemas.microsoft.com/office/drawing/2012/chart">
                  <c:ext xmlns:c16="http://schemas.microsoft.com/office/drawing/2014/chart" uri="{C3380CC4-5D6E-409C-BE32-E72D297353CC}">
                    <c16:uniqueId val="{00000003-E29C-4B5E-AB68-453083EFB2E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'Outputs '!$B$44:$K$44</c15:sqref>
                        </c15:formulaRef>
                      </c:ext>
                    </c:extLst>
                    <c:strCache>
                      <c:ptCount val="10"/>
                      <c:pt idx="0">
                        <c:v>CapEx, % of Revenue</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'!$L$44:$R$44</c15:sqref>
                        </c15:formulaRef>
                      </c:ext>
                    </c:extLst>
                    <c:numCache>
                      <c:formatCode>0.0%</c:formatCode>
                      <c:ptCount val="7"/>
                      <c:pt idx="0">
                        <c:v>3.1568711047448003E-2</c:v>
                      </c:pt>
                      <c:pt idx="1">
                        <c:v>3.3775917714114673E-2</c:v>
                      </c:pt>
                      <c:pt idx="2">
                        <c:v>3.5983124380781342E-2</c:v>
                      </c:pt>
                      <c:pt idx="3">
                        <c:v>3.8190331047448012E-2</c:v>
                      </c:pt>
                      <c:pt idx="4">
                        <c:v>4.0397537714114681E-2</c:v>
                      </c:pt>
                      <c:pt idx="5">
                        <c:v>4.2604744380781351E-2</c:v>
                      </c:pt>
                      <c:pt idx="6">
                        <c:v>4.4811951047448007E-2</c:v>
                      </c:pt>
                    </c:numCache>
                  </c:numRef>
                </c:val>
                <c:extLst xmlns:c15="http://schemas.microsoft.com/office/drawing/2012/chart">
                  <c:ext xmlns:c16="http://schemas.microsoft.com/office/drawing/2014/chart" uri="{C3380CC4-5D6E-409C-BE32-E72D297353CC}">
                    <c16:uniqueId val="{00000004-E29C-4B5E-AB68-453083EFB2E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'Outputs '!$B$45:$K$45</c15:sqref>
                        </c15:formulaRef>
                      </c:ext>
                    </c:extLst>
                    <c:strCache>
                      <c:ptCount val="10"/>
                      <c:pt idx="0">
                        <c:v>Total Interest Expense</c:v>
                      </c:pt>
                    </c:strCache>
                  </c:strRef>
                </c:tx>
                <c:spPr>
                  <a:solidFill>
                    <a:schemeClr val="accent6"/>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'!$L$45:$R$45</c15:sqref>
                        </c15:formulaRef>
                      </c:ext>
                    </c:extLst>
                    <c:numCache>
                      <c:formatCode>_(#,##0_);\(#,##0\);_("–"_);_(@_)</c:formatCode>
                      <c:ptCount val="7"/>
                      <c:pt idx="0">
                        <c:v>27.692184949288517</c:v>
                      </c:pt>
                      <c:pt idx="1">
                        <c:v>72.847382228457661</c:v>
                      </c:pt>
                      <c:pt idx="2">
                        <c:v>91.733237789579547</c:v>
                      </c:pt>
                      <c:pt idx="3">
                        <c:v>91.064285868854157</c:v>
                      </c:pt>
                      <c:pt idx="4">
                        <c:v>88.730755905452341</c:v>
                      </c:pt>
                      <c:pt idx="5">
                        <c:v>81.153106145899002</c:v>
                      </c:pt>
                      <c:pt idx="6">
                        <c:v>75.237676759856569</c:v>
                      </c:pt>
                    </c:numCache>
                  </c:numRef>
                </c:val>
                <c:extLst xmlns:c15="http://schemas.microsoft.com/office/drawing/2012/chart">
                  <c:ext xmlns:c16="http://schemas.microsoft.com/office/drawing/2014/chart" uri="{C3380CC4-5D6E-409C-BE32-E72D297353CC}">
                    <c16:uniqueId val="{00000005-E29C-4B5E-AB68-453083EFB2E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'Outputs '!$B$46:$K$46</c15:sqref>
                        </c15:formulaRef>
                      </c:ext>
                    </c:extLst>
                    <c:strCache>
                      <c:ptCount val="10"/>
                      <c:pt idx="0">
                        <c:v>Mandatory Principal Repayments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'!$L$46:$R$46</c15:sqref>
                        </c15:formulaRef>
                      </c:ext>
                    </c:extLst>
                    <c:numCache>
                      <c:formatCode>_(#,##0_);\(#,##0\);_("–"_);_(@_)</c:formatCode>
                      <c:ptCount val="7"/>
                      <c:pt idx="0">
                        <c:v>0</c:v>
                      </c:pt>
                      <c:pt idx="1">
                        <c:v>0</c:v>
                      </c:pt>
                      <c:pt idx="2">
                        <c:v>6.84</c:v>
                      </c:pt>
                      <c:pt idx="3">
                        <c:v>6.7715999999999994</c:v>
                      </c:pt>
                      <c:pt idx="4">
                        <c:v>6.5410094568368349</c:v>
                      </c:pt>
                      <c:pt idx="5">
                        <c:v>5.9306630237578792</c:v>
                      </c:pt>
                      <c:pt idx="6">
                        <c:v>5.2183077329417635</c:v>
                      </c:pt>
                    </c:numCache>
                  </c:numRef>
                </c:val>
                <c:extLst xmlns:c15="http://schemas.microsoft.com/office/drawing/2012/chart">
                  <c:ext xmlns:c16="http://schemas.microsoft.com/office/drawing/2014/chart" uri="{C3380CC4-5D6E-409C-BE32-E72D297353CC}">
                    <c16:uniqueId val="{00000006-E29C-4B5E-AB68-453083EFB2E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'Outputs '!$B$47:$K$47</c15:sqref>
                        </c15:formulaRef>
                      </c:ext>
                    </c:extLst>
                    <c:strCache>
                      <c:ptCount val="10"/>
                      <c:pt idx="0">
                        <c:v>Total Principal Repayments</c:v>
                      </c:pt>
                    </c:strCache>
                  </c:strRef>
                </c:tx>
                <c:spPr>
                  <a:solidFill>
                    <a:schemeClr val="accent2">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'!$L$47:$R$47</c15:sqref>
                        </c15:formulaRef>
                      </c:ext>
                    </c:extLst>
                    <c:numCache>
                      <c:formatCode>_(#,##0_);\(#,##0\);_("–"_);_(@_)</c:formatCode>
                      <c:ptCount val="7"/>
                      <c:pt idx="0">
                        <c:v>136.00233265726615</c:v>
                      </c:pt>
                      <c:pt idx="1">
                        <c:v>518.69766734273378</c:v>
                      </c:pt>
                      <c:pt idx="2">
                        <c:v>87.779675954020234</c:v>
                      </c:pt>
                      <c:pt idx="3">
                        <c:v>99.526405211700137</c:v>
                      </c:pt>
                      <c:pt idx="4">
                        <c:v>115.52827715895413</c:v>
                      </c:pt>
                      <c:pt idx="5">
                        <c:v>136.54039513946532</c:v>
                      </c:pt>
                      <c:pt idx="6">
                        <c:v>157.2685877147191</c:v>
                      </c:pt>
                    </c:numCache>
                  </c:numRef>
                </c:val>
                <c:extLst xmlns:c15="http://schemas.microsoft.com/office/drawing/2012/chart">
                  <c:ext xmlns:c16="http://schemas.microsoft.com/office/drawing/2014/chart" uri="{C3380CC4-5D6E-409C-BE32-E72D297353CC}">
                    <c16:uniqueId val="{00000007-E29C-4B5E-AB68-453083EFB2E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'Outputs '!$B$48:$K$48</c15:sqref>
                        </c15:formulaRef>
                      </c:ext>
                    </c:extLst>
                    <c:strCache>
                      <c:ptCount val="10"/>
                      <c:pt idx="0">
                        <c:v>Total Debt</c:v>
                      </c:pt>
                    </c:strCache>
                  </c:strRef>
                </c:tx>
                <c:spPr>
                  <a:solidFill>
                    <a:schemeClr val="accent3">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'!$L$48:$R$48</c15:sqref>
                        </c15:formulaRef>
                      </c:ext>
                    </c:extLst>
                    <c:numCache>
                      <c:formatCode>_(#,##0_);\(#,##0\);_("–"_);_(@_)</c:formatCode>
                      <c:ptCount val="7"/>
                      <c:pt idx="0">
                        <c:v>518.69766734273378</c:v>
                      </c:pt>
                      <c:pt idx="1">
                        <c:v>1683.1195725330872</c:v>
                      </c:pt>
                      <c:pt idx="2">
                        <c:v>1595.339896579067</c:v>
                      </c:pt>
                      <c:pt idx="3">
                        <c:v>1495.8134913673666</c:v>
                      </c:pt>
                      <c:pt idx="4">
                        <c:v>1380.285214208413</c:v>
                      </c:pt>
                      <c:pt idx="5">
                        <c:v>1243.7448190689474</c:v>
                      </c:pt>
                      <c:pt idx="6">
                        <c:v>1086.4762313542283</c:v>
                      </c:pt>
                    </c:numCache>
                  </c:numRef>
                </c:val>
                <c:extLst xmlns:c15="http://schemas.microsoft.com/office/drawing/2012/chart">
                  <c:ext xmlns:c16="http://schemas.microsoft.com/office/drawing/2014/chart" uri="{C3380CC4-5D6E-409C-BE32-E72D297353CC}">
                    <c16:uniqueId val="{00000008-E29C-4B5E-AB68-453083EFB2E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'Outputs '!$B$49:$K$49</c15:sqref>
                        </c15:formulaRef>
                      </c:ext>
                    </c:extLst>
                    <c:strCache>
                      <c:ptCount val="10"/>
                      <c:pt idx="0">
                        <c:v>Cash</c:v>
                      </c:pt>
                    </c:strCache>
                  </c:strRef>
                </c:tx>
                <c:spPr>
                  <a:solidFill>
                    <a:schemeClr val="accent4">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'!$L$49:$R$49</c15:sqref>
                        </c15:formulaRef>
                      </c:ext>
                    </c:extLst>
                    <c:numCache>
                      <c:formatCode>_(#,##0_);\(#,##0\);_("–"_);_(@_)</c:formatCode>
                      <c:ptCount val="7"/>
                      <c:pt idx="0">
                        <c:v>32.219122063217029</c:v>
                      </c:pt>
                      <c:pt idx="1">
                        <c:v>32.833877599257235</c:v>
                      </c:pt>
                      <c:pt idx="2">
                        <c:v>33.901832040124006</c:v>
                      </c:pt>
                      <c:pt idx="3">
                        <c:v>35.233565576390717</c:v>
                      </c:pt>
                      <c:pt idx="4">
                        <c:v>36.564883803777107</c:v>
                      </c:pt>
                      <c:pt idx="5">
                        <c:v>37.884045519729952</c:v>
                      </c:pt>
                      <c:pt idx="6">
                        <c:v>39.178798817226252</c:v>
                      </c:pt>
                    </c:numCache>
                  </c:numRef>
                </c:val>
                <c:extLst xmlns:c15="http://schemas.microsoft.com/office/drawing/2012/chart">
                  <c:ext xmlns:c16="http://schemas.microsoft.com/office/drawing/2014/chart" uri="{C3380CC4-5D6E-409C-BE32-E72D297353CC}">
                    <c16:uniqueId val="{00000009-E29C-4B5E-AB68-453083EFB2E4}"/>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'Outputs '!$B$50:$K$50</c15:sqref>
                        </c15:formulaRef>
                      </c:ext>
                    </c:extLst>
                    <c:strCache>
                      <c:ptCount val="10"/>
                      <c:pt idx="0">
                        <c:v>Net debt</c:v>
                      </c:pt>
                    </c:strCache>
                  </c:strRef>
                </c:tx>
                <c:spPr>
                  <a:solidFill>
                    <a:schemeClr val="accent5">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'!$L$50:$R$50</c15:sqref>
                        </c15:formulaRef>
                      </c:ext>
                    </c:extLst>
                    <c:numCache>
                      <c:formatCode>_(#,##0_);\(#,##0\);_("–"_);_(@_)</c:formatCode>
                      <c:ptCount val="7"/>
                      <c:pt idx="0">
                        <c:v>486.47854527951677</c:v>
                      </c:pt>
                      <c:pt idx="1">
                        <c:v>1650.28569493383</c:v>
                      </c:pt>
                      <c:pt idx="2">
                        <c:v>1561.4380645389431</c:v>
                      </c:pt>
                      <c:pt idx="3">
                        <c:v>1460.5799257909759</c:v>
                      </c:pt>
                      <c:pt idx="4">
                        <c:v>1343.7203304046359</c:v>
                      </c:pt>
                      <c:pt idx="5">
                        <c:v>1205.8607735492176</c:v>
                      </c:pt>
                      <c:pt idx="6">
                        <c:v>1047.2974325370021</c:v>
                      </c:pt>
                    </c:numCache>
                  </c:numRef>
                </c:val>
                <c:extLst xmlns:c15="http://schemas.microsoft.com/office/drawing/2012/chart">
                  <c:ext xmlns:c16="http://schemas.microsoft.com/office/drawing/2014/chart" uri="{C3380CC4-5D6E-409C-BE32-E72D297353CC}">
                    <c16:uniqueId val="{0000000A-E29C-4B5E-AB68-453083EFB2E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'Outputs '!$B$52:$K$52</c15:sqref>
                        </c15:formulaRef>
                      </c:ext>
                    </c:extLst>
                    <c:strCache>
                      <c:ptCount val="10"/>
                      <c:pt idx="0">
                        <c:v>EBITDA Margin</c:v>
                      </c:pt>
                    </c:strCache>
                  </c:strRef>
                </c:tx>
                <c:spPr>
                  <a:solidFill>
                    <a:schemeClr val="accent1">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'!$L$52:$R$52</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C-E29C-4B5E-AB68-453083EFB2E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'Outputs '!$B$53:$K$53</c15:sqref>
                        </c15:formulaRef>
                      </c:ext>
                    </c:extLst>
                    <c:strCache>
                      <c:ptCount val="10"/>
                      <c:pt idx="0">
                        <c:v>Total Debt/EBITDA</c:v>
                      </c:pt>
                    </c:strCache>
                  </c:strRef>
                </c:tx>
                <c:spPr>
                  <a:solidFill>
                    <a:schemeClr val="accent2">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'!$L$53:$R$53</c15:sqref>
                        </c15:formulaRef>
                      </c:ext>
                    </c:extLst>
                    <c:numCache>
                      <c:formatCode>_(0.0\x_);\(0.0\x\);"-"</c:formatCode>
                      <c:ptCount val="7"/>
                      <c:pt idx="0">
                        <c:v>2.3179566928204367</c:v>
                      </c:pt>
                      <c:pt idx="1">
                        <c:v>6.753913060691195</c:v>
                      </c:pt>
                      <c:pt idx="2">
                        <c:v>5.8575130552464332</c:v>
                      </c:pt>
                      <c:pt idx="3">
                        <c:v>4.9963712041931965</c:v>
                      </c:pt>
                      <c:pt idx="4">
                        <c:v>4.2014876743976837</c:v>
                      </c:pt>
                      <c:pt idx="5">
                        <c:v>3.4564075439097754</c:v>
                      </c:pt>
                      <c:pt idx="6">
                        <c:v>2.7620471177235757</c:v>
                      </c:pt>
                    </c:numCache>
                  </c:numRef>
                </c:val>
                <c:extLst xmlns:c15="http://schemas.microsoft.com/office/drawing/2012/chart">
                  <c:ext xmlns:c16="http://schemas.microsoft.com/office/drawing/2014/chart" uri="{C3380CC4-5D6E-409C-BE32-E72D297353CC}">
                    <c16:uniqueId val="{0000000D-E29C-4B5E-AB68-453083EFB2E4}"/>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'Outputs '!$B$54:$K$54</c15:sqref>
                        </c15:formulaRef>
                      </c:ext>
                    </c:extLst>
                    <c:strCache>
                      <c:ptCount val="10"/>
                      <c:pt idx="0">
                        <c:v>Debt Service Coverage Ratio</c:v>
                      </c:pt>
                    </c:strCache>
                  </c:strRef>
                </c:tx>
                <c:spPr>
                  <a:solidFill>
                    <a:schemeClr val="accent3">
                      <a:lumMod val="80000"/>
                      <a:lumOff val="20000"/>
                    </a:schemeClr>
                  </a:solidFill>
                  <a:ln>
                    <a:noFill/>
                  </a:ln>
                  <a:effectLst/>
                </c:spPr>
                <c:invertIfNegative val="0"/>
                <c:cat>
                  <c:numRef>
                    <c:extLst xmlns:c15="http://schemas.microsoft.com/office/drawing/2012/chart">
                      <c:ext xmlns:c15="http://schemas.microsoft.com/office/drawing/2012/chart" uri="{02D57815-91ED-43cb-92C2-25804820EDAC}">
                        <c15:formulaRef>
                          <c15:sqref>'Outputs '!$L$39:$R$39</c15:sqref>
                        </c15:formulaRef>
                      </c:ext>
                    </c:extLst>
                    <c:numCache>
                      <c:formatCode>General"E"</c:formatCode>
                      <c:ptCount val="7"/>
                      <c:pt idx="0">
                        <c:v>2025</c:v>
                      </c:pt>
                      <c:pt idx="1">
                        <c:v>2026</c:v>
                      </c:pt>
                      <c:pt idx="2">
                        <c:v>2027</c:v>
                      </c:pt>
                      <c:pt idx="3">
                        <c:v>2028</c:v>
                      </c:pt>
                      <c:pt idx="4">
                        <c:v>2029</c:v>
                      </c:pt>
                      <c:pt idx="5">
                        <c:v>2030</c:v>
                      </c:pt>
                      <c:pt idx="6">
                        <c:v>2031</c:v>
                      </c:pt>
                    </c:numCache>
                  </c:numRef>
                </c:cat>
                <c:val>
                  <c:numRef>
                    <c:extLst xmlns:c15="http://schemas.microsoft.com/office/drawing/2012/chart">
                      <c:ext xmlns:c15="http://schemas.microsoft.com/office/drawing/2012/chart" uri="{02D57815-91ED-43cb-92C2-25804820EDAC}">
                        <c15:formulaRef>
                          <c15:sqref>'Outputs '!$L$54:$R$54</c15:sqref>
                        </c15:formulaRef>
                      </c:ext>
                    </c:extLst>
                    <c:numCache>
                      <c:formatCode>_(0.0\x_);\(0.0\x\);"-"</c:formatCode>
                      <c:ptCount val="7"/>
                      <c:pt idx="0">
                        <c:v>0.89127254540624512</c:v>
                      </c:pt>
                      <c:pt idx="1">
                        <c:v>0.29150465115824797</c:v>
                      </c:pt>
                      <c:pt idx="2">
                        <c:v>1.052413212385686</c:v>
                      </c:pt>
                      <c:pt idx="3">
                        <c:v>1.0622118524780788</c:v>
                      </c:pt>
                      <c:pt idx="4">
                        <c:v>1.0600986155394567</c:v>
                      </c:pt>
                      <c:pt idx="5">
                        <c:v>1.058148009024511</c:v>
                      </c:pt>
                      <c:pt idx="6">
                        <c:v>1.05600987684935</c:v>
                      </c:pt>
                    </c:numCache>
                  </c:numRef>
                </c:val>
                <c:extLst xmlns:c15="http://schemas.microsoft.com/office/drawing/2012/chart">
                  <c:ext xmlns:c16="http://schemas.microsoft.com/office/drawing/2014/chart" uri="{C3380CC4-5D6E-409C-BE32-E72D297353CC}">
                    <c16:uniqueId val="{0000000E-E29C-4B5E-AB68-453083EFB2E4}"/>
                  </c:ext>
                </c:extLst>
              </c15:ser>
            </c15:filteredBarSeries>
          </c:ext>
        </c:extLst>
      </c:barChart>
      <c:lineChart>
        <c:grouping val="standard"/>
        <c:varyColors val="0"/>
        <c:ser>
          <c:idx val="11"/>
          <c:order val="11"/>
          <c:tx>
            <c:strRef>
              <c:f>'Outputs '!$B$51:$K$51</c:f>
              <c:strCache>
                <c:ptCount val="10"/>
                <c:pt idx="0">
                  <c:v>EBITDA Margin</c:v>
                </c:pt>
              </c:strCache>
            </c:strRef>
          </c:tx>
          <c:spPr>
            <a:ln w="28575" cap="rnd">
              <a:solidFill>
                <a:srgbClr val="EB33CC">
                  <a:alpha val="95000"/>
                </a:srgbClr>
              </a:solidFill>
              <a:round/>
            </a:ln>
            <a:effectLst/>
          </c:spPr>
          <c:marker>
            <c:symbol val="diamond"/>
            <c:size val="7"/>
            <c:spPr>
              <a:solidFill>
                <a:schemeClr val="bg1"/>
              </a:solidFill>
              <a:ln w="9525">
                <a:solidFill>
                  <a:schemeClr val="bg2">
                    <a:lumMod val="50000"/>
                  </a:schemeClr>
                </a:solidFill>
              </a:ln>
              <a:effectLst/>
            </c:spPr>
          </c:marker>
          <c:dPt>
            <c:idx val="5"/>
            <c:marker>
              <c:symbol val="diamond"/>
              <c:size val="7"/>
              <c:spPr>
                <a:solidFill>
                  <a:schemeClr val="bg1"/>
                </a:solidFill>
                <a:ln w="9525">
                  <a:solidFill>
                    <a:schemeClr val="bg2">
                      <a:lumMod val="50000"/>
                    </a:schemeClr>
                  </a:solidFill>
                </a:ln>
                <a:effectLst/>
              </c:spPr>
            </c:marker>
            <c:bubble3D val="0"/>
            <c:extLst>
              <c:ext xmlns:c16="http://schemas.microsoft.com/office/drawing/2014/chart" uri="{C3380CC4-5D6E-409C-BE32-E72D297353CC}">
                <c16:uniqueId val="{0000000F-E29C-4B5E-AB68-453083EFB2E4}"/>
              </c:ext>
            </c:extLst>
          </c:dPt>
          <c:cat>
            <c:numRef>
              <c:f>'Outputs '!$L$39:$R$39</c:f>
              <c:numCache>
                <c:formatCode>General"E"</c:formatCode>
                <c:ptCount val="7"/>
                <c:pt idx="0">
                  <c:v>2025</c:v>
                </c:pt>
                <c:pt idx="1">
                  <c:v>2026</c:v>
                </c:pt>
                <c:pt idx="2">
                  <c:v>2027</c:v>
                </c:pt>
                <c:pt idx="3">
                  <c:v>2028</c:v>
                </c:pt>
                <c:pt idx="4">
                  <c:v>2029</c:v>
                </c:pt>
                <c:pt idx="5">
                  <c:v>2030</c:v>
                </c:pt>
                <c:pt idx="6">
                  <c:v>2031</c:v>
                </c:pt>
              </c:numCache>
            </c:numRef>
          </c:cat>
          <c:val>
            <c:numRef>
              <c:f>'Outputs '!$L$51:$R$51</c:f>
              <c:numCache>
                <c:formatCode>0%</c:formatCode>
                <c:ptCount val="7"/>
                <c:pt idx="0">
                  <c:v>0.15014338383896783</c:v>
                </c:pt>
                <c:pt idx="1">
                  <c:v>0.16044951277674629</c:v>
                </c:pt>
                <c:pt idx="2">
                  <c:v>0.16599153843487188</c:v>
                </c:pt>
                <c:pt idx="3">
                  <c:v>0.17150268929303034</c:v>
                </c:pt>
                <c:pt idx="4">
                  <c:v>0.17705098409160425</c:v>
                </c:pt>
                <c:pt idx="5">
                  <c:v>0.18263467842441522</c:v>
                </c:pt>
                <c:pt idx="6">
                  <c:v>0.18825187135469831</c:v>
                </c:pt>
              </c:numCache>
            </c:numRef>
          </c:val>
          <c:smooth val="0"/>
          <c:extLst>
            <c:ext xmlns:c16="http://schemas.microsoft.com/office/drawing/2014/chart" uri="{C3380CC4-5D6E-409C-BE32-E72D297353CC}">
              <c16:uniqueId val="{0000000B-E29C-4B5E-AB68-453083EFB2E4}"/>
            </c:ext>
          </c:extLst>
        </c:ser>
        <c:dLbls>
          <c:showLegendKey val="0"/>
          <c:showVal val="0"/>
          <c:showCatName val="0"/>
          <c:showSerName val="0"/>
          <c:showPercent val="0"/>
          <c:showBubbleSize val="0"/>
        </c:dLbls>
        <c:marker val="1"/>
        <c:smooth val="0"/>
        <c:axId val="1178581056"/>
        <c:axId val="1178580576"/>
      </c:lineChart>
      <c:catAx>
        <c:axId val="1452220144"/>
        <c:scaling>
          <c:orientation val="minMax"/>
        </c:scaling>
        <c:delete val="0"/>
        <c:axPos val="b"/>
        <c:numFmt formatCode="General&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52236944"/>
        <c:crosses val="autoZero"/>
        <c:auto val="1"/>
        <c:lblAlgn val="ctr"/>
        <c:lblOffset val="100"/>
        <c:noMultiLvlLbl val="0"/>
      </c:catAx>
      <c:valAx>
        <c:axId val="1452236944"/>
        <c:scaling>
          <c:orientation val="minMax"/>
        </c:scaling>
        <c:delete val="0"/>
        <c:axPos val="l"/>
        <c:numFmt formatCode="&quot;£&quot;##,##0&quot;mn&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52220144"/>
        <c:crosses val="autoZero"/>
        <c:crossBetween val="between"/>
        <c:majorUnit val="100"/>
      </c:valAx>
      <c:valAx>
        <c:axId val="1178580576"/>
        <c:scaling>
          <c:orientation val="minMax"/>
          <c:min val="0.13"/>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78581056"/>
        <c:crosses val="max"/>
        <c:crossBetween val="between"/>
        <c:majorUnit val="1.0000000000000002E-2"/>
        <c:minorUnit val="1.0000000000000002E-2"/>
      </c:valAx>
      <c:catAx>
        <c:axId val="1178581056"/>
        <c:scaling>
          <c:orientation val="minMax"/>
        </c:scaling>
        <c:delete val="1"/>
        <c:axPos val="b"/>
        <c:numFmt formatCode="General&quot;E&quot;" sourceLinked="1"/>
        <c:majorTickMark val="out"/>
        <c:minorTickMark val="none"/>
        <c:tickLblPos val="nextTo"/>
        <c:crossAx val="117858057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Model!$B$144</c:f>
              <c:strCache>
                <c:ptCount val="1"/>
                <c:pt idx="0">
                  <c:v>Total Inorganic Revenue</c:v>
                </c:pt>
              </c:strCache>
            </c:strRef>
          </c:tx>
          <c:spPr>
            <a:solidFill>
              <a:srgbClr val="7030A0"/>
            </a:solidFill>
            <a:ln>
              <a:noFill/>
            </a:ln>
            <a:effectLst/>
          </c:spPr>
          <c:invertIfNegative val="0"/>
          <c:val>
            <c:numRef>
              <c:f>Model!$J$144:$P$144</c:f>
              <c:numCache>
                <c:formatCode>_(#,##0_);\(#,##0\);_("–"_);_(@_)</c:formatCode>
                <c:ptCount val="7"/>
                <c:pt idx="0">
                  <c:v>179.49199999999999</c:v>
                </c:pt>
                <c:pt idx="1">
                  <c:v>204.62087999999997</c:v>
                </c:pt>
                <c:pt idx="2">
                  <c:v>231.22159439999996</c:v>
                </c:pt>
                <c:pt idx="3">
                  <c:v>258.96818572799992</c:v>
                </c:pt>
                <c:pt idx="4">
                  <c:v>287.45468615807988</c:v>
                </c:pt>
                <c:pt idx="5">
                  <c:v>316.2001547738879</c:v>
                </c:pt>
                <c:pt idx="6">
                  <c:v>344.65816870353785</c:v>
                </c:pt>
              </c:numCache>
            </c:numRef>
          </c:val>
          <c:extLst>
            <c:ext xmlns:c16="http://schemas.microsoft.com/office/drawing/2014/chart" uri="{C3380CC4-5D6E-409C-BE32-E72D297353CC}">
              <c16:uniqueId val="{00000002-EF4D-4ED5-9CF3-231281BA7FD9}"/>
            </c:ext>
          </c:extLst>
        </c:ser>
        <c:dLbls>
          <c:showLegendKey val="0"/>
          <c:showVal val="0"/>
          <c:showCatName val="0"/>
          <c:showSerName val="0"/>
          <c:showPercent val="0"/>
          <c:showBubbleSize val="0"/>
        </c:dLbls>
        <c:gapWidth val="150"/>
        <c:axId val="1136779392"/>
        <c:axId val="1136780832"/>
      </c:barChart>
      <c:lineChart>
        <c:grouping val="standard"/>
        <c:varyColors val="0"/>
        <c:ser>
          <c:idx val="0"/>
          <c:order val="0"/>
          <c:tx>
            <c:strRef>
              <c:f>Model!$B$142</c:f>
              <c:strCache>
                <c:ptCount val="1"/>
                <c:pt idx="0">
                  <c:v>Micrometrics Revenue</c:v>
                </c:pt>
              </c:strCache>
            </c:strRef>
          </c:tx>
          <c:spPr>
            <a:ln w="28575" cap="rnd">
              <a:solidFill>
                <a:srgbClr val="EB33CC"/>
              </a:solidFill>
              <a:round/>
            </a:ln>
            <a:effectLst/>
          </c:spPr>
          <c:marker>
            <c:symbol val="diamond"/>
            <c:size val="6"/>
            <c:spPr>
              <a:solidFill>
                <a:schemeClr val="bg1"/>
              </a:solidFill>
              <a:ln w="9525" cap="rnd">
                <a:solidFill>
                  <a:schemeClr val="bg2">
                    <a:lumMod val="50000"/>
                  </a:schemeClr>
                </a:solidFill>
                <a:bevel/>
                <a:headEnd type="oval"/>
              </a:ln>
              <a:effectLst/>
            </c:spPr>
          </c:marker>
          <c:cat>
            <c:numRef>
              <c:f>'Inputs and Drivers'!$K$9:$Q$9</c:f>
              <c:numCache>
                <c:formatCode>General</c:formatCode>
                <c:ptCount val="7"/>
                <c:pt idx="0">
                  <c:v>2025</c:v>
                </c:pt>
                <c:pt idx="1">
                  <c:v>2026</c:v>
                </c:pt>
                <c:pt idx="2">
                  <c:v>2027</c:v>
                </c:pt>
                <c:pt idx="3">
                  <c:v>2028</c:v>
                </c:pt>
                <c:pt idx="4">
                  <c:v>2029</c:v>
                </c:pt>
                <c:pt idx="5">
                  <c:v>2030</c:v>
                </c:pt>
                <c:pt idx="6">
                  <c:v>2031</c:v>
                </c:pt>
              </c:numCache>
            </c:numRef>
          </c:cat>
          <c:val>
            <c:numRef>
              <c:f>Model!$J$142:$P$142</c:f>
              <c:numCache>
                <c:formatCode>_(#,##0_);\(#,##0\);_("–"_);_(@_)</c:formatCode>
                <c:ptCount val="7"/>
                <c:pt idx="0">
                  <c:v>116.24199999999999</c:v>
                </c:pt>
                <c:pt idx="1">
                  <c:v>132.51587999999998</c:v>
                </c:pt>
                <c:pt idx="2">
                  <c:v>149.74294439999997</c:v>
                </c:pt>
                <c:pt idx="3">
                  <c:v>167.71209772799995</c:v>
                </c:pt>
                <c:pt idx="4">
                  <c:v>186.16042847807992</c:v>
                </c:pt>
                <c:pt idx="5">
                  <c:v>204.77647132588794</c:v>
                </c:pt>
                <c:pt idx="6">
                  <c:v>223.20635374521788</c:v>
                </c:pt>
              </c:numCache>
            </c:numRef>
          </c:val>
          <c:smooth val="0"/>
          <c:extLst>
            <c:ext xmlns:c16="http://schemas.microsoft.com/office/drawing/2014/chart" uri="{C3380CC4-5D6E-409C-BE32-E72D297353CC}">
              <c16:uniqueId val="{00000000-EF4D-4ED5-9CF3-231281BA7FD9}"/>
            </c:ext>
          </c:extLst>
        </c:ser>
        <c:ser>
          <c:idx val="1"/>
          <c:order val="1"/>
          <c:tx>
            <c:strRef>
              <c:f>Model!$B$143</c:f>
              <c:strCache>
                <c:ptCount val="1"/>
                <c:pt idx="0">
                  <c:v>SciApps Revenue</c:v>
                </c:pt>
              </c:strCache>
            </c:strRef>
          </c:tx>
          <c:spPr>
            <a:ln w="28575" cap="rnd">
              <a:solidFill>
                <a:srgbClr val="FF99FF"/>
              </a:solidFill>
              <a:round/>
            </a:ln>
            <a:effectLst/>
          </c:spPr>
          <c:marker>
            <c:symbol val="diamond"/>
            <c:size val="6"/>
            <c:spPr>
              <a:solidFill>
                <a:schemeClr val="bg1"/>
              </a:solidFill>
              <a:ln w="9525">
                <a:solidFill>
                  <a:schemeClr val="bg2">
                    <a:lumMod val="50000"/>
                  </a:schemeClr>
                </a:solidFill>
              </a:ln>
              <a:effectLst/>
            </c:spPr>
          </c:marker>
          <c:cat>
            <c:numRef>
              <c:f>'Inputs and Drivers'!$K$9:$Q$9</c:f>
              <c:numCache>
                <c:formatCode>General</c:formatCode>
                <c:ptCount val="7"/>
                <c:pt idx="0">
                  <c:v>2025</c:v>
                </c:pt>
                <c:pt idx="1">
                  <c:v>2026</c:v>
                </c:pt>
                <c:pt idx="2">
                  <c:v>2027</c:v>
                </c:pt>
                <c:pt idx="3">
                  <c:v>2028</c:v>
                </c:pt>
                <c:pt idx="4">
                  <c:v>2029</c:v>
                </c:pt>
                <c:pt idx="5">
                  <c:v>2030</c:v>
                </c:pt>
                <c:pt idx="6">
                  <c:v>2031</c:v>
                </c:pt>
              </c:numCache>
            </c:numRef>
          </c:cat>
          <c:val>
            <c:numRef>
              <c:f>Model!$J$143:$P$143</c:f>
              <c:numCache>
                <c:formatCode>_(#,##0_);\(#,##0\);_("–"_);_(@_)</c:formatCode>
                <c:ptCount val="7"/>
                <c:pt idx="0">
                  <c:v>63.249999999999993</c:v>
                </c:pt>
                <c:pt idx="1">
                  <c:v>72.10499999999999</c:v>
                </c:pt>
                <c:pt idx="2">
                  <c:v>81.478649999999988</c:v>
                </c:pt>
                <c:pt idx="3">
                  <c:v>91.256087999999977</c:v>
                </c:pt>
                <c:pt idx="4">
                  <c:v>101.29425767999996</c:v>
                </c:pt>
                <c:pt idx="5">
                  <c:v>111.42368344799996</c:v>
                </c:pt>
                <c:pt idx="6">
                  <c:v>121.45181495831997</c:v>
                </c:pt>
              </c:numCache>
            </c:numRef>
          </c:val>
          <c:smooth val="0"/>
          <c:extLst>
            <c:ext xmlns:c16="http://schemas.microsoft.com/office/drawing/2014/chart" uri="{C3380CC4-5D6E-409C-BE32-E72D297353CC}">
              <c16:uniqueId val="{00000001-EF4D-4ED5-9CF3-231281BA7FD9}"/>
            </c:ext>
          </c:extLst>
        </c:ser>
        <c:dLbls>
          <c:showLegendKey val="0"/>
          <c:showVal val="0"/>
          <c:showCatName val="0"/>
          <c:showSerName val="0"/>
          <c:showPercent val="0"/>
          <c:showBubbleSize val="0"/>
        </c:dLbls>
        <c:marker val="1"/>
        <c:smooth val="0"/>
        <c:axId val="1136779392"/>
        <c:axId val="1136780832"/>
      </c:lineChart>
      <c:catAx>
        <c:axId val="1136779392"/>
        <c:scaling>
          <c:orientation val="minMax"/>
        </c:scaling>
        <c:delete val="0"/>
        <c:axPos val="b"/>
        <c:numFmt formatCode="yy&quot;E&quot;"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36780832"/>
        <c:crosses val="autoZero"/>
        <c:auto val="1"/>
        <c:lblAlgn val="ctr"/>
        <c:lblOffset val="100"/>
        <c:noMultiLvlLbl val="0"/>
      </c:catAx>
      <c:valAx>
        <c:axId val="1136780832"/>
        <c:scaling>
          <c:orientation val="minMax"/>
        </c:scaling>
        <c:delete val="0"/>
        <c:axPos val="l"/>
        <c:numFmt formatCode="_(#,##0_);\(#,##0\);_(&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367793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b="0">
          <a:solidFill>
            <a:schemeClr val="tx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3"/>
          <c:order val="3"/>
          <c:tx>
            <c:v>SOFR</c:v>
          </c:tx>
          <c:spPr>
            <a:solidFill>
              <a:srgbClr val="7030A0"/>
            </a:solidFill>
            <a:ln>
              <a:noFill/>
            </a:ln>
            <a:effectLst/>
          </c:spPr>
          <c:invertIfNegative val="0"/>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Drivers'!$H$120:$Q$120</c15:sqref>
                  </c15:fullRef>
                </c:ext>
              </c:extLst>
              <c:f>'Inputs and Drivers'!$K$120:$Q$120</c:f>
              <c:numCache>
                <c:formatCode>0.00%</c:formatCode>
                <c:ptCount val="7"/>
                <c:pt idx="0">
                  <c:v>3.7499999999999999E-2</c:v>
                </c:pt>
                <c:pt idx="1">
                  <c:v>0.03</c:v>
                </c:pt>
                <c:pt idx="2">
                  <c:v>0.03</c:v>
                </c:pt>
                <c:pt idx="3">
                  <c:v>3.2500000000000001E-2</c:v>
                </c:pt>
                <c:pt idx="4">
                  <c:v>3.5000000000000003E-2</c:v>
                </c:pt>
                <c:pt idx="5">
                  <c:v>3.5000000000000003E-2</c:v>
                </c:pt>
                <c:pt idx="6">
                  <c:v>3.7499999999999999E-2</c:v>
                </c:pt>
              </c:numCache>
            </c:numRef>
          </c:val>
          <c:extLst>
            <c:ext xmlns:c16="http://schemas.microsoft.com/office/drawing/2014/chart" uri="{C3380CC4-5D6E-409C-BE32-E72D297353CC}">
              <c16:uniqueId val="{00000003-ADDD-48E5-BCC8-9F331AF1F966}"/>
            </c:ext>
          </c:extLst>
        </c:ser>
        <c:ser>
          <c:idx val="5"/>
          <c:order val="5"/>
          <c:tx>
            <c:v>EURIBOR</c:v>
          </c:tx>
          <c:spPr>
            <a:solidFill>
              <a:srgbClr val="FF00FF"/>
            </a:solidFill>
            <a:ln>
              <a:noFill/>
            </a:ln>
            <a:effectLst/>
          </c:spPr>
          <c:invertIfNegative val="0"/>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Drivers'!$H$122:$Q$122</c15:sqref>
                  </c15:fullRef>
                </c:ext>
              </c:extLst>
              <c:f>'Inputs and Drivers'!$K$122:$Q$122</c:f>
              <c:numCache>
                <c:formatCode>0.00%</c:formatCode>
                <c:ptCount val="7"/>
                <c:pt idx="0">
                  <c:v>0.02</c:v>
                </c:pt>
                <c:pt idx="1">
                  <c:v>0.02</c:v>
                </c:pt>
                <c:pt idx="2">
                  <c:v>0.02</c:v>
                </c:pt>
                <c:pt idx="3">
                  <c:v>2.2499999999999999E-2</c:v>
                </c:pt>
                <c:pt idx="4">
                  <c:v>2.5000000000000001E-2</c:v>
                </c:pt>
                <c:pt idx="5">
                  <c:v>2.5000000000000001E-2</c:v>
                </c:pt>
                <c:pt idx="6">
                  <c:v>2.75E-2</c:v>
                </c:pt>
              </c:numCache>
            </c:numRef>
          </c:val>
          <c:extLst>
            <c:ext xmlns:c16="http://schemas.microsoft.com/office/drawing/2014/chart" uri="{C3380CC4-5D6E-409C-BE32-E72D297353CC}">
              <c16:uniqueId val="{00000005-ADDD-48E5-BCC8-9F331AF1F966}"/>
            </c:ext>
          </c:extLst>
        </c:ser>
        <c:dLbls>
          <c:showLegendKey val="0"/>
          <c:showVal val="0"/>
          <c:showCatName val="0"/>
          <c:showSerName val="0"/>
          <c:showPercent val="0"/>
          <c:showBubbleSize val="0"/>
        </c:dLbls>
        <c:gapWidth val="219"/>
        <c:axId val="1852849039"/>
        <c:axId val="1852849519"/>
        <c:extLst>
          <c:ext xmlns:c15="http://schemas.microsoft.com/office/drawing/2012/chart" uri="{02D57815-91ED-43cb-92C2-25804820EDAC}">
            <c15:filteredBarSeries>
              <c15:ser>
                <c:idx val="0"/>
                <c:order val="0"/>
                <c:tx>
                  <c:strRef>
                    <c:extLst>
                      <c:ext uri="{02D57815-91ED-43cb-92C2-25804820EDAC}">
                        <c15:formulaRef>
                          <c15:sqref>'Inputs and Drivers'!$B$117:$G$117</c15:sqref>
                        </c15:formulaRef>
                      </c:ext>
                    </c:extLst>
                    <c:strCache>
                      <c:ptCount val="6"/>
                    </c:strCache>
                  </c:strRef>
                </c:tx>
                <c:spPr>
                  <a:solidFill>
                    <a:schemeClr val="accent1"/>
                  </a:solidFill>
                  <a:ln>
                    <a:noFill/>
                  </a:ln>
                  <a:effectLst/>
                </c:spPr>
                <c:invertIfNegative val="0"/>
                <c:cat>
                  <c:numRef>
                    <c:extLst>
                      <c:ex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uri="{02D57815-91ED-43cb-92C2-25804820EDAC}">
                        <c15:fullRef>
                          <c15:sqref>'Inputs and Drivers'!$H$117:$Q$117</c15:sqref>
                        </c15:fullRef>
                        <c15:formulaRef>
                          <c15:sqref>'Inputs and Drivers'!$K$117:$Q$117</c15:sqref>
                        </c15:formulaRef>
                      </c:ext>
                    </c:extLst>
                    <c:numCache>
                      <c:formatCode>General</c:formatCode>
                      <c:ptCount val="7"/>
                    </c:numCache>
                  </c:numRef>
                </c:val>
                <c:extLst>
                  <c:ext xmlns:c16="http://schemas.microsoft.com/office/drawing/2014/chart" uri="{C3380CC4-5D6E-409C-BE32-E72D297353CC}">
                    <c16:uniqueId val="{00000000-ADDD-48E5-BCC8-9F331AF1F966}"/>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'Inputs and Drivers'!$B$118:$G$118</c15:sqref>
                        </c15:formulaRef>
                      </c:ext>
                    </c:extLst>
                    <c:strCache>
                      <c:ptCount val="6"/>
                      <c:pt idx="0">
                        <c:v>Blended Interest Rate for Existing Debt </c:v>
                      </c:pt>
                    </c:strCache>
                  </c:strRef>
                </c:tx>
                <c:spPr>
                  <a:solidFill>
                    <a:schemeClr val="accent2"/>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Drivers'!$H$118:$Q$118</c15:sqref>
                        </c15:fullRef>
                        <c15:formulaRef>
                          <c15:sqref>'Inputs and Drivers'!$K$118:$Q$118</c15:sqref>
                        </c15:formulaRef>
                      </c:ext>
                    </c:extLst>
                    <c:numCache>
                      <c:formatCode>0.00%</c:formatCode>
                      <c:ptCount val="7"/>
                      <c:pt idx="0">
                        <c:v>4.7199999999999999E-2</c:v>
                      </c:pt>
                      <c:pt idx="1">
                        <c:v>4.7199999999999999E-2</c:v>
                      </c:pt>
                      <c:pt idx="2">
                        <c:v>4.7199999999999999E-2</c:v>
                      </c:pt>
                      <c:pt idx="3">
                        <c:v>4.7199999999999999E-2</c:v>
                      </c:pt>
                      <c:pt idx="4">
                        <c:v>4.7199999999999999E-2</c:v>
                      </c:pt>
                      <c:pt idx="5">
                        <c:v>4.7199999999999999E-2</c:v>
                      </c:pt>
                      <c:pt idx="6">
                        <c:v>4.7199999999999999E-2</c:v>
                      </c:pt>
                    </c:numCache>
                  </c:numRef>
                </c:val>
                <c:extLst xmlns:c15="http://schemas.microsoft.com/office/drawing/2012/chart">
                  <c:ext xmlns:c16="http://schemas.microsoft.com/office/drawing/2014/chart" uri="{C3380CC4-5D6E-409C-BE32-E72D297353CC}">
                    <c16:uniqueId val="{00000001-ADDD-48E5-BCC8-9F331AF1F96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'Inputs and Drivers'!$B$119:$G$119</c15:sqref>
                        </c15:formulaRef>
                      </c:ext>
                    </c:extLst>
                    <c:strCache>
                      <c:ptCount val="6"/>
                      <c:pt idx="0">
                        <c:v>Blended Interest Rate for Existing Debt </c:v>
                      </c:pt>
                    </c:strCache>
                  </c:strRef>
                </c:tx>
                <c:spPr>
                  <a:solidFill>
                    <a:schemeClr val="accent3"/>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Drivers'!$H$119:$Q$119</c15:sqref>
                        </c15:fullRef>
                        <c15:formulaRef>
                          <c15:sqref>'Inputs and Drivers'!$K$119:$Q$119</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2-ADDD-48E5-BCC8-9F331AF1F96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'Inputs and Drivers'!$B$121:$G$121</c15:sqref>
                        </c15:formulaRef>
                      </c:ext>
                    </c:extLst>
                    <c:strCache>
                      <c:ptCount val="6"/>
                      <c:pt idx="0">
                        <c:v>Secured Overnight Financing Rate (SOFR)</c:v>
                      </c:pt>
                    </c:strCache>
                  </c:strRef>
                </c:tx>
                <c:spPr>
                  <a:solidFill>
                    <a:schemeClr val="accent5"/>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Drivers'!$H$121:$Q$121</c15:sqref>
                        </c15:fullRef>
                        <c15:formulaRef>
                          <c15:sqref>'Inputs and Drivers'!$K$121:$Q$121</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4-ADDD-48E5-BCC8-9F331AF1F966}"/>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'Inputs and Drivers'!$B$123:$G$123</c15:sqref>
                        </c15:formulaRef>
                      </c:ext>
                    </c:extLst>
                    <c:strCache>
                      <c:ptCount val="6"/>
                      <c:pt idx="0">
                        <c:v>Euro Interbank Offered Rate (EURIBOR)</c:v>
                      </c:pt>
                    </c:strCache>
                  </c:strRef>
                </c:tx>
                <c:spPr>
                  <a:solidFill>
                    <a:schemeClr val="accent1">
                      <a:lumMod val="6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Drivers'!$H$123:$Q$123</c15:sqref>
                        </c15:fullRef>
                        <c15:formulaRef>
                          <c15:sqref>'Inputs and Drivers'!$K$123:$Q$123</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6-ADDD-48E5-BCC8-9F331AF1F966}"/>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'Inputs and Drivers'!$B$124:$G$124</c15:sqref>
                        </c15:formulaRef>
                      </c:ext>
                    </c:extLst>
                    <c:strCache>
                      <c:ptCount val="6"/>
                      <c:pt idx="0">
                        <c:v>Sterling Overnight Index Average (SONIA)</c:v>
                      </c:pt>
                    </c:strCache>
                  </c:strRef>
                </c:tx>
                <c:spPr>
                  <a:solidFill>
                    <a:schemeClr val="accent2">
                      <a:lumMod val="6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Drivers'!$H$124:$Q$124</c15:sqref>
                        </c15:fullRef>
                        <c15:formulaRef>
                          <c15:sqref>'Inputs and Drivers'!$K$124:$Q$124</c15:sqref>
                        </c15:formulaRef>
                      </c:ext>
                    </c:extLst>
                    <c:numCache>
                      <c:formatCode>0.00%</c:formatCode>
                      <c:ptCount val="7"/>
                      <c:pt idx="0">
                        <c:v>0.04</c:v>
                      </c:pt>
                      <c:pt idx="1">
                        <c:v>3.6999999999999998E-2</c:v>
                      </c:pt>
                      <c:pt idx="2">
                        <c:v>3.4000000000000002E-2</c:v>
                      </c:pt>
                      <c:pt idx="3">
                        <c:v>3.5999999999999997E-2</c:v>
                      </c:pt>
                      <c:pt idx="4">
                        <c:v>3.7999999999999999E-2</c:v>
                      </c:pt>
                      <c:pt idx="5">
                        <c:v>0.04</c:v>
                      </c:pt>
                      <c:pt idx="6">
                        <c:v>4.1500000000000002E-2</c:v>
                      </c:pt>
                    </c:numCache>
                  </c:numRef>
                </c:val>
                <c:extLst xmlns:c15="http://schemas.microsoft.com/office/drawing/2012/chart">
                  <c:ext xmlns:c16="http://schemas.microsoft.com/office/drawing/2014/chart" uri="{C3380CC4-5D6E-409C-BE32-E72D297353CC}">
                    <c16:uniqueId val="{00000007-ADDD-48E5-BCC8-9F331AF1F966}"/>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'Inputs and Drivers'!$B$125:$G$125</c15:sqref>
                        </c15:formulaRef>
                      </c:ext>
                    </c:extLst>
                    <c:strCache>
                      <c:ptCount val="6"/>
                      <c:pt idx="0">
                        <c:v>Sterling Overnight Index Average (SONIA)</c:v>
                      </c:pt>
                    </c:strCache>
                  </c:strRef>
                </c:tx>
                <c:spPr>
                  <a:solidFill>
                    <a:schemeClr val="accent3">
                      <a:lumMod val="6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Drivers'!$H$125:$Q$125</c15:sqref>
                        </c15:fullRef>
                        <c15:formulaRef>
                          <c15:sqref>'Inputs and Drivers'!$K$125:$Q$125</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8-ADDD-48E5-BCC8-9F331AF1F966}"/>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'Inputs and Drivers'!$B$126:$G$126</c15:sqref>
                        </c15:formulaRef>
                      </c:ext>
                    </c:extLst>
                    <c:strCache>
                      <c:ptCount val="6"/>
                      <c:pt idx="0">
                        <c:v>Revolving credit Facility</c:v>
                      </c:pt>
                    </c:strCache>
                  </c:strRef>
                </c:tx>
                <c:spPr>
                  <a:solidFill>
                    <a:schemeClr val="accent4">
                      <a:lumMod val="6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Drivers'!$H$126:$Q$126</c15:sqref>
                        </c15:fullRef>
                        <c15:formulaRef>
                          <c15:sqref>'Inputs and Drivers'!$K$126:$Q$126</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9-ADDD-48E5-BCC8-9F331AF1F966}"/>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'Inputs and Drivers'!$B$129:$G$129</c15:sqref>
                        </c15:formulaRef>
                      </c:ext>
                    </c:extLst>
                    <c:strCache>
                      <c:ptCount val="6"/>
                      <c:pt idx="0">
                        <c:v>Spread (SOFR)</c:v>
                      </c:pt>
                      <c:pt idx="1">
                        <c:v>B+300bps </c:v>
                      </c:pt>
                    </c:strCache>
                  </c:strRef>
                </c:tx>
                <c:spPr>
                  <a:solidFill>
                    <a:schemeClr val="accent1">
                      <a:lumMod val="80000"/>
                      <a:lumOff val="2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Drivers'!$H$129:$Q$129</c15:sqref>
                        </c15:fullRef>
                        <c15:formulaRef>
                          <c15:sqref>'Inputs and Drivers'!$K$129:$Q$129</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C-ADDD-48E5-BCC8-9F331AF1F966}"/>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'Inputs and Drivers'!$B$130:$G$130</c15:sqref>
                        </c15:formulaRef>
                      </c:ext>
                    </c:extLst>
                    <c:strCache>
                      <c:ptCount val="6"/>
                      <c:pt idx="0">
                        <c:v>Term Loan EUR</c:v>
                      </c:pt>
                    </c:strCache>
                  </c:strRef>
                </c:tx>
                <c:spPr>
                  <a:solidFill>
                    <a:schemeClr val="accent2">
                      <a:lumMod val="80000"/>
                      <a:lumOff val="2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Drivers'!$H$130:$Q$130</c15:sqref>
                        </c15:fullRef>
                        <c15:formulaRef>
                          <c15:sqref>'Inputs and Drivers'!$K$130:$Q$130</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D-ADDD-48E5-BCC8-9F331AF1F966}"/>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'Inputs and Drivers'!$B$132:$G$132</c15:sqref>
                        </c15:formulaRef>
                      </c:ext>
                    </c:extLst>
                    <c:strCache>
                      <c:ptCount val="6"/>
                      <c:pt idx="0">
                        <c:v>Spread</c:v>
                      </c:pt>
                      <c:pt idx="1">
                        <c:v>B+325bps </c:v>
                      </c:pt>
                    </c:strCache>
                  </c:strRef>
                </c:tx>
                <c:spPr>
                  <a:solidFill>
                    <a:schemeClr val="accent4">
                      <a:lumMod val="80000"/>
                      <a:lumOff val="2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Drivers'!$H$132:$Q$132</c15:sqref>
                        </c15:fullRef>
                        <c15:formulaRef>
                          <c15:sqref>'Inputs and Drivers'!$K$132:$Q$132</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0F-ADDD-48E5-BCC8-9F331AF1F966}"/>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'Inputs and Drivers'!$B$133:$G$133</c15:sqref>
                        </c15:formulaRef>
                      </c:ext>
                    </c:extLst>
                    <c:strCache>
                      <c:ptCount val="6"/>
                      <c:pt idx="0">
                        <c:v>Term Loan USD</c:v>
                      </c:pt>
                    </c:strCache>
                  </c:strRef>
                </c:tx>
                <c:spPr>
                  <a:solidFill>
                    <a:schemeClr val="accent5">
                      <a:lumMod val="80000"/>
                      <a:lumOff val="2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Drivers'!$H$133:$Q$133</c15:sqref>
                        </c15:fullRef>
                        <c15:formulaRef>
                          <c15:sqref>'Inputs and Drivers'!$K$133:$Q$133</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10-ADDD-48E5-BCC8-9F331AF1F966}"/>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'Inputs and Drivers'!$B$135:$G$135</c15:sqref>
                        </c15:formulaRef>
                      </c:ext>
                    </c:extLst>
                    <c:strCache>
                      <c:ptCount val="6"/>
                      <c:pt idx="0">
                        <c:v>Spread</c:v>
                      </c:pt>
                      <c:pt idx="1">
                        <c:v>B+275bps </c:v>
                      </c:pt>
                    </c:strCache>
                  </c:strRef>
                </c:tx>
                <c:spPr>
                  <a:solidFill>
                    <a:schemeClr val="accent1">
                      <a:lumMod val="8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Drivers'!$H$135:$Q$135</c15:sqref>
                        </c15:fullRef>
                        <c15:formulaRef>
                          <c15:sqref>'Inputs and Drivers'!$K$135:$Q$135</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12-ADDD-48E5-BCC8-9F331AF1F966}"/>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'Inputs and Drivers'!$B$136:$G$136</c15:sqref>
                        </c15:formulaRef>
                      </c:ext>
                    </c:extLst>
                    <c:strCache>
                      <c:ptCount val="6"/>
                      <c:pt idx="0">
                        <c:v>Minimum Cash Balance </c:v>
                      </c:pt>
                    </c:strCache>
                  </c:strRef>
                </c:tx>
                <c:spPr>
                  <a:solidFill>
                    <a:schemeClr val="accent2">
                      <a:lumMod val="8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Drivers'!$H$136:$Q$136</c15:sqref>
                        </c15:fullRef>
                        <c15:formulaRef>
                          <c15:sqref>'Inputs and Drivers'!$K$136:$Q$136</c15:sqref>
                        </c15:formulaRef>
                      </c:ext>
                    </c:extLst>
                    <c:numCache>
                      <c:formatCode>General</c:formatCode>
                      <c:ptCount val="7"/>
                      <c:pt idx="0" formatCode="#,##0">
                        <c:v>32.219122063217057</c:v>
                      </c:pt>
                      <c:pt idx="1" formatCode="#,##0">
                        <c:v>32.833877599257598</c:v>
                      </c:pt>
                      <c:pt idx="2" formatCode="#,##0">
                        <c:v>33.901832040124035</c:v>
                      </c:pt>
                      <c:pt idx="3" formatCode="#,##0">
                        <c:v>35.233565576390717</c:v>
                      </c:pt>
                      <c:pt idx="4" formatCode="#,##0">
                        <c:v>36.564883803777114</c:v>
                      </c:pt>
                      <c:pt idx="5" formatCode="#,##0">
                        <c:v>37.884045519729966</c:v>
                      </c:pt>
                      <c:pt idx="6" formatCode="#,##0">
                        <c:v>39.178798817226244</c:v>
                      </c:pt>
                    </c:numCache>
                  </c:numRef>
                </c:val>
                <c:extLst xmlns:c15="http://schemas.microsoft.com/office/drawing/2012/chart">
                  <c:ext xmlns:c16="http://schemas.microsoft.com/office/drawing/2014/chart" uri="{C3380CC4-5D6E-409C-BE32-E72D297353CC}">
                    <c16:uniqueId val="{00000013-ADDD-48E5-BCC8-9F331AF1F966}"/>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'Inputs and Drivers'!$B$137:$G$137</c15:sqref>
                        </c15:formulaRef>
                      </c:ext>
                    </c:extLst>
                    <c:strCache>
                      <c:ptCount val="6"/>
                      <c:pt idx="0">
                        <c:v>Minimum Cash Balance </c:v>
                      </c:pt>
                    </c:strCache>
                  </c:strRef>
                </c:tx>
                <c:spPr>
                  <a:solidFill>
                    <a:schemeClr val="accent3">
                      <a:lumMod val="8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Drivers'!$H$137:$Q$137</c15:sqref>
                        </c15:fullRef>
                        <c15:formulaRef>
                          <c15:sqref>'Inputs and Drivers'!$K$137:$Q$137</c15:sqref>
                        </c15:formulaRef>
                      </c:ext>
                    </c:extLst>
                    <c:numCache>
                      <c:formatCode>General</c:formatCode>
                      <c:ptCount val="7"/>
                    </c:numCache>
                  </c:numRef>
                </c:val>
                <c:extLst xmlns:c15="http://schemas.microsoft.com/office/drawing/2012/chart">
                  <c:ext xmlns:c16="http://schemas.microsoft.com/office/drawing/2014/chart" uri="{C3380CC4-5D6E-409C-BE32-E72D297353CC}">
                    <c16:uniqueId val="{00000014-ADDD-48E5-BCC8-9F331AF1F966}"/>
                  </c:ext>
                </c:extLst>
              </c15:ser>
            </c15:filteredBarSeries>
            <c15:filteredBarSeries>
              <c15:ser>
                <c:idx val="21"/>
                <c:order val="21"/>
                <c:tx>
                  <c:strRef>
                    <c:extLst xmlns:c15="http://schemas.microsoft.com/office/drawing/2012/chart">
                      <c:ext xmlns:c15="http://schemas.microsoft.com/office/drawing/2012/chart" uri="{02D57815-91ED-43cb-92C2-25804820EDAC}">
                        <c15:formulaRef>
                          <c15:sqref>'Inputs and Drivers'!$B$138:$G$138</c15:sqref>
                        </c15:formulaRef>
                      </c:ext>
                    </c:extLst>
                    <c:strCache>
                      <c:ptCount val="6"/>
                      <c:pt idx="0">
                        <c:v>Financing Fees Ammortisation</c:v>
                      </c:pt>
                    </c:strCache>
                  </c:strRef>
                </c:tx>
                <c:spPr>
                  <a:solidFill>
                    <a:schemeClr val="accent4">
                      <a:lumMod val="80000"/>
                    </a:schemeClr>
                  </a:solidFill>
                  <a:ln>
                    <a:noFill/>
                  </a:ln>
                  <a:effectLst/>
                </c:spPr>
                <c:invertIfNegative val="0"/>
                <c:cat>
                  <c:numRef>
                    <c:extLst>
                      <c:ext xmlns:c15="http://schemas.microsoft.com/office/drawing/2012/chart" uri="{02D57815-91ED-43cb-92C2-25804820EDAC}">
                        <c15:fullRef>
                          <c15:sqref>'Inputs and Drivers'!$H$116:$Q$116</c15:sqref>
                        </c15:fullRef>
                        <c15:formulaRef>
                          <c15:sqref>'Inputs and Drivers'!$K$116:$Q$116</c15:sqref>
                        </c15:formulaRef>
                      </c:ext>
                    </c:extLst>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Drivers'!$H$138:$Q$138</c15:sqref>
                        </c15:fullRef>
                        <c15:formulaRef>
                          <c15:sqref>'Inputs and Drivers'!$K$138:$Q$138</c15:sqref>
                        </c15:formulaRef>
                      </c:ext>
                    </c:extLst>
                    <c:numCache>
                      <c:formatCode>General</c:formatCode>
                      <c:ptCount val="7"/>
                      <c:pt idx="0" formatCode="_(#,##0_);\(#,##0\);_(&quot;–&quot;_);_(@_)">
                        <c:v>0</c:v>
                      </c:pt>
                      <c:pt idx="1" formatCode="_(#,##0_);\(#,##0\);_(&quot;–&quot;_);_(@_)">
                        <c:v>5.9128261599069365</c:v>
                      </c:pt>
                      <c:pt idx="2" formatCode="_(#,##0_);\(#,##0\);_(&quot;–&quot;_);_(@_)">
                        <c:v>5.9128261599069365</c:v>
                      </c:pt>
                      <c:pt idx="3" formatCode="_(#,##0_);\(#,##0\);_(&quot;–&quot;_);_(@_)">
                        <c:v>5.9128261599069365</c:v>
                      </c:pt>
                      <c:pt idx="4" formatCode="_(#,##0_);\(#,##0\);_(&quot;–&quot;_);_(@_)">
                        <c:v>5.9128261599069365</c:v>
                      </c:pt>
                      <c:pt idx="5" formatCode="_(#,##0_);\(#,##0\);_(&quot;–&quot;_);_(@_)">
                        <c:v>5.9128261599069365</c:v>
                      </c:pt>
                      <c:pt idx="6" formatCode="_(#,##0_);\(#,##0\);_(&quot;–&quot;_);_(@_)">
                        <c:v>5.9128261599069365</c:v>
                      </c:pt>
                    </c:numCache>
                  </c:numRef>
                </c:val>
                <c:extLst xmlns:c15="http://schemas.microsoft.com/office/drawing/2012/chart">
                  <c:ext xmlns:c16="http://schemas.microsoft.com/office/drawing/2014/chart" uri="{C3380CC4-5D6E-409C-BE32-E72D297353CC}">
                    <c16:uniqueId val="{00000015-ADDD-48E5-BCC8-9F331AF1F966}"/>
                  </c:ext>
                </c:extLst>
              </c15:ser>
            </c15:filteredBarSeries>
          </c:ext>
        </c:extLst>
      </c:barChart>
      <c:lineChart>
        <c:grouping val="standard"/>
        <c:varyColors val="0"/>
        <c:ser>
          <c:idx val="10"/>
          <c:order val="10"/>
          <c:tx>
            <c:v>RCF EURIBOR</c:v>
          </c:tx>
          <c:spPr>
            <a:ln w="28575" cap="rnd">
              <a:solidFill>
                <a:schemeClr val="accent5">
                  <a:lumMod val="20000"/>
                  <a:lumOff val="80000"/>
                </a:schemeClr>
              </a:solidFill>
              <a:round/>
            </a:ln>
            <a:effectLst/>
          </c:spPr>
          <c:marker>
            <c:symbol val="circle"/>
            <c:size val="5"/>
            <c:spPr>
              <a:solidFill>
                <a:schemeClr val="bg1"/>
              </a:solidFill>
              <a:ln w="9525">
                <a:solidFill>
                  <a:schemeClr val="bg2">
                    <a:lumMod val="50000"/>
                  </a:schemeClr>
                </a:solidFill>
              </a:ln>
              <a:effectLst/>
            </c:spPr>
          </c:marker>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Drivers'!$H$127:$Q$127</c15:sqref>
                  </c15:fullRef>
                </c:ext>
              </c:extLst>
              <c:f>'Inputs and Drivers'!$K$127:$Q$127</c:f>
              <c:numCache>
                <c:formatCode>General</c:formatCode>
                <c:ptCount val="7"/>
                <c:pt idx="0" formatCode="0.00%">
                  <c:v>0.05</c:v>
                </c:pt>
                <c:pt idx="1" formatCode="0.00%">
                  <c:v>0.05</c:v>
                </c:pt>
                <c:pt idx="2" formatCode="0.00%">
                  <c:v>0.05</c:v>
                </c:pt>
                <c:pt idx="3" formatCode="0.00%">
                  <c:v>5.2499999999999998E-2</c:v>
                </c:pt>
                <c:pt idx="4" formatCode="0.00%">
                  <c:v>5.5E-2</c:v>
                </c:pt>
                <c:pt idx="5" formatCode="0.00%">
                  <c:v>5.5E-2</c:v>
                </c:pt>
                <c:pt idx="6" formatCode="0.00%">
                  <c:v>5.7499999999999996E-2</c:v>
                </c:pt>
              </c:numCache>
            </c:numRef>
          </c:val>
          <c:smooth val="0"/>
          <c:extLst>
            <c:ext xmlns:c16="http://schemas.microsoft.com/office/drawing/2014/chart" uri="{C3380CC4-5D6E-409C-BE32-E72D297353CC}">
              <c16:uniqueId val="{0000000A-ADDD-48E5-BCC8-9F331AF1F966}"/>
            </c:ext>
          </c:extLst>
        </c:ser>
        <c:ser>
          <c:idx val="11"/>
          <c:order val="11"/>
          <c:tx>
            <c:v>RCF SOFR</c:v>
          </c:tx>
          <c:spPr>
            <a:ln w="28575" cap="rnd">
              <a:solidFill>
                <a:schemeClr val="accent5">
                  <a:lumMod val="50000"/>
                </a:schemeClr>
              </a:solidFill>
              <a:round/>
            </a:ln>
            <a:effectLst/>
          </c:spPr>
          <c:marker>
            <c:symbol val="circle"/>
            <c:size val="5"/>
            <c:spPr>
              <a:solidFill>
                <a:schemeClr val="bg1"/>
              </a:solidFill>
              <a:ln w="9525">
                <a:solidFill>
                  <a:schemeClr val="bg2">
                    <a:lumMod val="50000"/>
                  </a:schemeClr>
                </a:solidFill>
              </a:ln>
              <a:effectLst/>
            </c:spPr>
          </c:marker>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Drivers'!$H$128:$Q$128</c15:sqref>
                  </c15:fullRef>
                </c:ext>
              </c:extLst>
              <c:f>'Inputs and Drivers'!$K$128:$Q$128</c:f>
              <c:numCache>
                <c:formatCode>General</c:formatCode>
                <c:ptCount val="7"/>
                <c:pt idx="0" formatCode="0.00%">
                  <c:v>6.7500000000000004E-2</c:v>
                </c:pt>
                <c:pt idx="1" formatCode="0.00%">
                  <c:v>0.06</c:v>
                </c:pt>
                <c:pt idx="2" formatCode="0.00%">
                  <c:v>0.06</c:v>
                </c:pt>
                <c:pt idx="3" formatCode="0.00%">
                  <c:v>6.25E-2</c:v>
                </c:pt>
                <c:pt idx="4" formatCode="0.00%">
                  <c:v>6.5000000000000002E-2</c:v>
                </c:pt>
                <c:pt idx="5" formatCode="0.00%">
                  <c:v>6.5000000000000002E-2</c:v>
                </c:pt>
                <c:pt idx="6" formatCode="0.00%">
                  <c:v>6.7500000000000004E-2</c:v>
                </c:pt>
              </c:numCache>
            </c:numRef>
          </c:val>
          <c:smooth val="0"/>
          <c:extLst>
            <c:ext xmlns:c16="http://schemas.microsoft.com/office/drawing/2014/chart" uri="{C3380CC4-5D6E-409C-BE32-E72D297353CC}">
              <c16:uniqueId val="{0000000B-ADDD-48E5-BCC8-9F331AF1F966}"/>
            </c:ext>
          </c:extLst>
        </c:ser>
        <c:ser>
          <c:idx val="14"/>
          <c:order val="14"/>
          <c:tx>
            <c:v>Term Loan EUR </c:v>
          </c:tx>
          <c:spPr>
            <a:ln w="28575" cap="rnd">
              <a:solidFill>
                <a:schemeClr val="accent5">
                  <a:lumMod val="40000"/>
                  <a:lumOff val="60000"/>
                </a:schemeClr>
              </a:solidFill>
              <a:round/>
            </a:ln>
            <a:effectLst/>
          </c:spPr>
          <c:marker>
            <c:symbol val="circle"/>
            <c:size val="5"/>
            <c:spPr>
              <a:solidFill>
                <a:schemeClr val="bg1"/>
              </a:solidFill>
              <a:ln w="9525">
                <a:solidFill>
                  <a:schemeClr val="bg2">
                    <a:lumMod val="50000"/>
                  </a:schemeClr>
                </a:solidFill>
              </a:ln>
              <a:effectLst/>
            </c:spPr>
          </c:marker>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Drivers'!$H$131:$Q$131</c15:sqref>
                  </c15:fullRef>
                </c:ext>
              </c:extLst>
              <c:f>'Inputs and Drivers'!$K$131:$Q$131</c:f>
              <c:numCache>
                <c:formatCode>General</c:formatCode>
                <c:ptCount val="7"/>
                <c:pt idx="0" formatCode="0.00%">
                  <c:v>5.2500000000000005E-2</c:v>
                </c:pt>
                <c:pt idx="1" formatCode="0.00%">
                  <c:v>5.2500000000000005E-2</c:v>
                </c:pt>
                <c:pt idx="2" formatCode="0.00%">
                  <c:v>5.2500000000000005E-2</c:v>
                </c:pt>
                <c:pt idx="3" formatCode="0.00%">
                  <c:v>5.5E-2</c:v>
                </c:pt>
                <c:pt idx="4" formatCode="0.00%">
                  <c:v>5.7500000000000002E-2</c:v>
                </c:pt>
                <c:pt idx="5" formatCode="0.00%">
                  <c:v>5.7500000000000002E-2</c:v>
                </c:pt>
                <c:pt idx="6" formatCode="0.00%">
                  <c:v>0.06</c:v>
                </c:pt>
              </c:numCache>
            </c:numRef>
          </c:val>
          <c:smooth val="0"/>
          <c:extLst>
            <c:ext xmlns:c16="http://schemas.microsoft.com/office/drawing/2014/chart" uri="{C3380CC4-5D6E-409C-BE32-E72D297353CC}">
              <c16:uniqueId val="{0000000E-ADDD-48E5-BCC8-9F331AF1F966}"/>
            </c:ext>
          </c:extLst>
        </c:ser>
        <c:ser>
          <c:idx val="17"/>
          <c:order val="17"/>
          <c:tx>
            <c:v>Term Loan USD</c:v>
          </c:tx>
          <c:spPr>
            <a:ln w="28575" cap="rnd">
              <a:solidFill>
                <a:schemeClr val="accent5">
                  <a:lumMod val="75000"/>
                </a:schemeClr>
              </a:solidFill>
              <a:round/>
            </a:ln>
            <a:effectLst/>
          </c:spPr>
          <c:marker>
            <c:symbol val="circle"/>
            <c:size val="5"/>
            <c:spPr>
              <a:solidFill>
                <a:schemeClr val="bg1"/>
              </a:solidFill>
              <a:ln w="9525">
                <a:solidFill>
                  <a:schemeClr val="bg2">
                    <a:lumMod val="50000"/>
                  </a:schemeClr>
                </a:solidFill>
              </a:ln>
              <a:effectLst/>
            </c:spPr>
          </c:marker>
          <c:cat>
            <c:numRef>
              <c:extLst>
                <c:ext xmlns:c15="http://schemas.microsoft.com/office/drawing/2012/chart" uri="{02D57815-91ED-43cb-92C2-25804820EDAC}">
                  <c15:fullRef>
                    <c15:sqref>'Inputs and Drivers'!$H$116:$Q$116</c15:sqref>
                  </c15:fullRef>
                </c:ext>
              </c:extLst>
              <c:f>'Inputs and Drivers'!$K$116:$Q$116</c:f>
              <c:numCache>
                <c:formatCode>0"A"</c:formatCode>
                <c:ptCount val="7"/>
                <c:pt idx="0" formatCode="General&quot;E&quot;">
                  <c:v>2025</c:v>
                </c:pt>
                <c:pt idx="1" formatCode="General&quot;E&quot;">
                  <c:v>2026</c:v>
                </c:pt>
                <c:pt idx="2" formatCode="General&quot;E&quot;">
                  <c:v>2027</c:v>
                </c:pt>
                <c:pt idx="3" formatCode="General&quot;E&quot;">
                  <c:v>2028</c:v>
                </c:pt>
                <c:pt idx="4" formatCode="General&quot;E&quot;">
                  <c:v>2029</c:v>
                </c:pt>
                <c:pt idx="5" formatCode="General&quot;E&quot;">
                  <c:v>2030</c:v>
                </c:pt>
                <c:pt idx="6" formatCode="General&quot;E&quot;">
                  <c:v>2031</c:v>
                </c:pt>
              </c:numCache>
            </c:numRef>
          </c:cat>
          <c:val>
            <c:numRef>
              <c:extLst>
                <c:ext xmlns:c15="http://schemas.microsoft.com/office/drawing/2012/chart" uri="{02D57815-91ED-43cb-92C2-25804820EDAC}">
                  <c15:fullRef>
                    <c15:sqref>'Inputs and Drivers'!$H$134:$Q$134</c15:sqref>
                  </c15:fullRef>
                </c:ext>
              </c:extLst>
              <c:f>'Inputs and Drivers'!$K$134:$Q$134</c:f>
              <c:numCache>
                <c:formatCode>General</c:formatCode>
                <c:ptCount val="7"/>
                <c:pt idx="0" formatCode="0.00%">
                  <c:v>6.5000000000000002E-2</c:v>
                </c:pt>
                <c:pt idx="1" formatCode="0.00%">
                  <c:v>5.7499999999999996E-2</c:v>
                </c:pt>
                <c:pt idx="2" formatCode="0.00%">
                  <c:v>5.7499999999999996E-2</c:v>
                </c:pt>
                <c:pt idx="3" formatCode="0.00%">
                  <c:v>0.06</c:v>
                </c:pt>
                <c:pt idx="4" formatCode="0.00%">
                  <c:v>6.25E-2</c:v>
                </c:pt>
                <c:pt idx="5" formatCode="0.00%">
                  <c:v>6.25E-2</c:v>
                </c:pt>
                <c:pt idx="6" formatCode="0.00%">
                  <c:v>6.5000000000000002E-2</c:v>
                </c:pt>
              </c:numCache>
            </c:numRef>
          </c:val>
          <c:smooth val="0"/>
          <c:extLst>
            <c:ext xmlns:c16="http://schemas.microsoft.com/office/drawing/2014/chart" uri="{C3380CC4-5D6E-409C-BE32-E72D297353CC}">
              <c16:uniqueId val="{00000011-ADDD-48E5-BCC8-9F331AF1F966}"/>
            </c:ext>
          </c:extLst>
        </c:ser>
        <c:dLbls>
          <c:showLegendKey val="0"/>
          <c:showVal val="0"/>
          <c:showCatName val="0"/>
          <c:showSerName val="0"/>
          <c:showPercent val="0"/>
          <c:showBubbleSize val="0"/>
        </c:dLbls>
        <c:marker val="1"/>
        <c:smooth val="0"/>
        <c:axId val="1852849039"/>
        <c:axId val="1852849519"/>
      </c:lineChart>
      <c:catAx>
        <c:axId val="1852849039"/>
        <c:scaling>
          <c:orientation val="minMax"/>
        </c:scaling>
        <c:delete val="0"/>
        <c:axPos val="b"/>
        <c:numFmt formatCode="General&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2849519"/>
        <c:crosses val="autoZero"/>
        <c:auto val="1"/>
        <c:lblAlgn val="ctr"/>
        <c:lblOffset val="100"/>
        <c:noMultiLvlLbl val="0"/>
      </c:catAx>
      <c:valAx>
        <c:axId val="1852849519"/>
        <c:scaling>
          <c:orientation val="minMax"/>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2849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'Outputs '!$B$242:$C$242</c:f>
              <c:strCache>
                <c:ptCount val="2"/>
                <c:pt idx="0">
                  <c:v>Total SG&amp;A</c:v>
                </c:pt>
              </c:strCache>
            </c:strRef>
          </c:tx>
          <c:spPr>
            <a:solidFill>
              <a:srgbClr val="FF00FF"/>
            </a:solidFill>
            <a:ln>
              <a:noFill/>
            </a:ln>
            <a:effectLst/>
          </c:spPr>
          <c:invertIfNegative val="0"/>
          <c:cat>
            <c:numRef>
              <c:f>'Outputs '!$P$239:$V$239</c:f>
              <c:numCache>
                <c:formatCode>General"E"</c:formatCode>
                <c:ptCount val="7"/>
                <c:pt idx="0">
                  <c:v>2025</c:v>
                </c:pt>
                <c:pt idx="1">
                  <c:v>2026</c:v>
                </c:pt>
                <c:pt idx="2">
                  <c:v>2027</c:v>
                </c:pt>
                <c:pt idx="3">
                  <c:v>2028</c:v>
                </c:pt>
                <c:pt idx="4">
                  <c:v>2029</c:v>
                </c:pt>
                <c:pt idx="5">
                  <c:v>2030</c:v>
                </c:pt>
                <c:pt idx="6">
                  <c:v>2031</c:v>
                </c:pt>
              </c:numCache>
            </c:numRef>
          </c:cat>
          <c:val>
            <c:numRef>
              <c:f>'Outputs '!$P$242:$V$242</c:f>
              <c:numCache>
                <c:formatCode>_(#,##0_);\(#,##0\);"-"</c:formatCode>
                <c:ptCount val="7"/>
                <c:pt idx="0">
                  <c:v>475.04577084777071</c:v>
                </c:pt>
                <c:pt idx="1">
                  <c:v>488.39811876645865</c:v>
                </c:pt>
                <c:pt idx="2">
                  <c:v>516.73325123943164</c:v>
                </c:pt>
                <c:pt idx="3">
                  <c:v>550.63680970266341</c:v>
                </c:pt>
                <c:pt idx="4">
                  <c:v>586.17819596241225</c:v>
                </c:pt>
                <c:pt idx="5">
                  <c:v>623.28206918573858</c:v>
                </c:pt>
                <c:pt idx="6">
                  <c:v>661.85659775611589</c:v>
                </c:pt>
              </c:numCache>
            </c:numRef>
          </c:val>
          <c:extLst>
            <c:ext xmlns:c16="http://schemas.microsoft.com/office/drawing/2014/chart" uri="{C3380CC4-5D6E-409C-BE32-E72D297353CC}">
              <c16:uniqueId val="{00000001-8075-4B85-B3BB-DE7AAA7FDA53}"/>
            </c:ext>
          </c:extLst>
        </c:ser>
        <c:dLbls>
          <c:showLegendKey val="0"/>
          <c:showVal val="0"/>
          <c:showCatName val="0"/>
          <c:showSerName val="0"/>
          <c:showPercent val="0"/>
          <c:showBubbleSize val="0"/>
        </c:dLbls>
        <c:gapWidth val="150"/>
        <c:axId val="1324305088"/>
        <c:axId val="1324297888"/>
      </c:barChart>
      <c:lineChart>
        <c:grouping val="standard"/>
        <c:varyColors val="0"/>
        <c:ser>
          <c:idx val="0"/>
          <c:order val="0"/>
          <c:tx>
            <c:strRef>
              <c:f>'Outputs '!$B$241:$C$241</c:f>
              <c:strCache>
                <c:ptCount val="2"/>
                <c:pt idx="0">
                  <c:v>SG&amp;A Margin</c:v>
                </c:pt>
              </c:strCache>
            </c:strRef>
          </c:tx>
          <c:spPr>
            <a:ln w="28575" cap="rnd">
              <a:solidFill>
                <a:srgbClr val="7030A0"/>
              </a:solidFill>
              <a:round/>
            </a:ln>
            <a:effectLst/>
          </c:spPr>
          <c:marker>
            <c:symbol val="circle"/>
            <c:size val="5"/>
            <c:spPr>
              <a:solidFill>
                <a:schemeClr val="bg1"/>
              </a:solidFill>
              <a:ln w="9525">
                <a:solidFill>
                  <a:schemeClr val="bg2">
                    <a:lumMod val="50000"/>
                  </a:schemeClr>
                </a:solidFill>
              </a:ln>
              <a:effectLst/>
            </c:spPr>
          </c:marker>
          <c:cat>
            <c:numRef>
              <c:f>'Outputs '!$P$239:$V$239</c:f>
              <c:numCache>
                <c:formatCode>General"E"</c:formatCode>
                <c:ptCount val="7"/>
                <c:pt idx="0">
                  <c:v>2025</c:v>
                </c:pt>
                <c:pt idx="1">
                  <c:v>2026</c:v>
                </c:pt>
                <c:pt idx="2">
                  <c:v>2027</c:v>
                </c:pt>
                <c:pt idx="3">
                  <c:v>2028</c:v>
                </c:pt>
                <c:pt idx="4">
                  <c:v>2029</c:v>
                </c:pt>
                <c:pt idx="5">
                  <c:v>2030</c:v>
                </c:pt>
                <c:pt idx="6">
                  <c:v>2031</c:v>
                </c:pt>
              </c:numCache>
            </c:numRef>
          </c:cat>
          <c:val>
            <c:numRef>
              <c:f>'Outputs '!$P$241:$V$241</c:f>
              <c:numCache>
                <c:formatCode>0%</c:formatCode>
                <c:ptCount val="7"/>
                <c:pt idx="0">
                  <c:v>0.32340032340032332</c:v>
                </c:pt>
                <c:pt idx="1">
                  <c:v>0.30415030415030397</c:v>
                </c:pt>
                <c:pt idx="2">
                  <c:v>0.30215030415030397</c:v>
                </c:pt>
                <c:pt idx="3">
                  <c:v>0.30015030415030397</c:v>
                </c:pt>
                <c:pt idx="4">
                  <c:v>0.29815030415030397</c:v>
                </c:pt>
                <c:pt idx="5">
                  <c:v>0.29615030415030397</c:v>
                </c:pt>
                <c:pt idx="6" formatCode="0.0%">
                  <c:v>0.29415030415030402</c:v>
                </c:pt>
              </c:numCache>
            </c:numRef>
          </c:val>
          <c:smooth val="0"/>
          <c:extLst>
            <c:ext xmlns:c16="http://schemas.microsoft.com/office/drawing/2014/chart" uri="{C3380CC4-5D6E-409C-BE32-E72D297353CC}">
              <c16:uniqueId val="{00000000-8075-4B85-B3BB-DE7AAA7FDA53}"/>
            </c:ext>
          </c:extLst>
        </c:ser>
        <c:dLbls>
          <c:showLegendKey val="0"/>
          <c:showVal val="0"/>
          <c:showCatName val="0"/>
          <c:showSerName val="0"/>
          <c:showPercent val="0"/>
          <c:showBubbleSize val="0"/>
        </c:dLbls>
        <c:marker val="1"/>
        <c:smooth val="0"/>
        <c:axId val="1324320568"/>
        <c:axId val="1324317688"/>
      </c:lineChart>
      <c:catAx>
        <c:axId val="1324305088"/>
        <c:scaling>
          <c:orientation val="minMax"/>
        </c:scaling>
        <c:delete val="0"/>
        <c:axPos val="b"/>
        <c:numFmt formatCode="General&quot;E&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324297888"/>
        <c:crosses val="autoZero"/>
        <c:auto val="1"/>
        <c:lblAlgn val="ctr"/>
        <c:lblOffset val="100"/>
        <c:noMultiLvlLbl val="0"/>
      </c:catAx>
      <c:valAx>
        <c:axId val="1324297888"/>
        <c:scaling>
          <c:orientation val="minMax"/>
        </c:scaling>
        <c:delete val="0"/>
        <c:axPos val="l"/>
        <c:numFmt formatCode="&quot;£&quot;##,##0&quot;mn&quot;"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324305088"/>
        <c:crosses val="autoZero"/>
        <c:crossBetween val="between"/>
      </c:valAx>
      <c:valAx>
        <c:axId val="1324317688"/>
        <c:scaling>
          <c:orientation val="minMax"/>
          <c:min val="0.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324320568"/>
        <c:crosses val="max"/>
        <c:crossBetween val="between"/>
      </c:valAx>
      <c:catAx>
        <c:axId val="1324320568"/>
        <c:scaling>
          <c:orientation val="minMax"/>
        </c:scaling>
        <c:delete val="1"/>
        <c:axPos val="b"/>
        <c:numFmt formatCode="General&quot;E&quot;" sourceLinked="1"/>
        <c:majorTickMark val="out"/>
        <c:minorTickMark val="none"/>
        <c:tickLblPos val="nextTo"/>
        <c:crossAx val="13243176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6">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microsoft.com/office/2007/relationships/hdphoto" Target="../media/hdphoto1.wdp"/><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4"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4"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4</xdr:row>
      <xdr:rowOff>28575</xdr:rowOff>
    </xdr:from>
    <xdr:to>
      <xdr:col>4</xdr:col>
      <xdr:colOff>408305</xdr:colOff>
      <xdr:row>10</xdr:row>
      <xdr:rowOff>48261</xdr:rowOff>
    </xdr:to>
    <xdr:pic>
      <xdr:nvPicPr>
        <xdr:cNvPr id="3" name="Picture 1" descr="KKR Logo and symbol, meaning, history, PNG, brand">
          <a:extLst>
            <a:ext uri="{FF2B5EF4-FFF2-40B4-BE49-F238E27FC236}">
              <a16:creationId xmlns:a16="http://schemas.microsoft.com/office/drawing/2014/main" id="{CFFF0339-9FFB-4769-B799-62EFB52594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971550"/>
          <a:ext cx="2046605" cy="1105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590550</xdr:colOff>
      <xdr:row>10</xdr:row>
      <xdr:rowOff>155574</xdr:rowOff>
    </xdr:from>
    <xdr:to>
      <xdr:col>7</xdr:col>
      <xdr:colOff>446215</xdr:colOff>
      <xdr:row>14</xdr:row>
      <xdr:rowOff>98424</xdr:rowOff>
    </xdr:to>
    <xdr:pic>
      <xdr:nvPicPr>
        <xdr:cNvPr id="90" name="Picture 3" descr="Spectris Logo - PNG Logo Vector Brand Downloads (SVG, EPS)">
          <a:extLst>
            <a:ext uri="{FF2B5EF4-FFF2-40B4-BE49-F238E27FC236}">
              <a16:creationId xmlns:a16="http://schemas.microsoft.com/office/drawing/2014/main" id="{5834DA58-5229-903F-EBF2-F7D973D959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19350" y="2184399"/>
          <a:ext cx="2294065"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127000</xdr:colOff>
      <xdr:row>5</xdr:row>
      <xdr:rowOff>38100</xdr:rowOff>
    </xdr:from>
    <xdr:to>
      <xdr:col>6</xdr:col>
      <xdr:colOff>237195</xdr:colOff>
      <xdr:row>9</xdr:row>
      <xdr:rowOff>49870</xdr:rowOff>
    </xdr:to>
    <xdr:pic>
      <xdr:nvPicPr>
        <xdr:cNvPr id="89" name="Picture 8">
          <a:extLst>
            <a:ext uri="{FF2B5EF4-FFF2-40B4-BE49-F238E27FC236}">
              <a16:creationId xmlns:a16="http://schemas.microsoft.com/office/drawing/2014/main" id="{7FDF204F-78C5-BD6A-8CA4-E33DB1506E1D}"/>
            </a:ext>
          </a:extLst>
        </xdr:cNvPr>
        <xdr:cNvPicPr>
          <a:picLocks noChangeAspect="1"/>
        </xdr:cNvPicPr>
      </xdr:nvPicPr>
      <xdr:blipFill>
        <a:blip xmlns:r="http://schemas.openxmlformats.org/officeDocument/2006/relationships" r:embed="rId3"/>
        <a:stretch>
          <a:fillRect/>
        </a:stretch>
      </xdr:blipFill>
      <xdr:spPr>
        <a:xfrm>
          <a:off x="3175000" y="1174750"/>
          <a:ext cx="729320" cy="729320"/>
        </a:xfrm>
        <a:prstGeom prst="rect">
          <a:avLst/>
        </a:prstGeom>
        <a:effectLst>
          <a:outerShdw blurRad="50800" dist="38100" dir="5400000" algn="t" rotWithShape="0">
            <a:prstClr val="black">
              <a:alpha val="40000"/>
            </a:prstClr>
          </a:outerShdw>
        </a:effectLst>
      </xdr:spPr>
    </xdr:pic>
    <xdr:clientData/>
  </xdr:twoCellAnchor>
  <xdr:twoCellAnchor editAs="oneCell">
    <xdr:from>
      <xdr:col>6</xdr:col>
      <xdr:colOff>495300</xdr:colOff>
      <xdr:row>3</xdr:row>
      <xdr:rowOff>85726</xdr:rowOff>
    </xdr:from>
    <xdr:to>
      <xdr:col>10</xdr:col>
      <xdr:colOff>549275</xdr:colOff>
      <xdr:row>10</xdr:row>
      <xdr:rowOff>46841</xdr:rowOff>
    </xdr:to>
    <xdr:pic>
      <xdr:nvPicPr>
        <xdr:cNvPr id="91" name="Picture 90" descr="Advent International to Acquire PatientPoint, the Point of Change Company,  Elevating Healthcare Through the Nation's Largest Digital Point-Of-Care  Engagement Network - PharmiWeb.com">
          <a:extLst>
            <a:ext uri="{FF2B5EF4-FFF2-40B4-BE49-F238E27FC236}">
              <a16:creationId xmlns:a16="http://schemas.microsoft.com/office/drawing/2014/main" id="{2C7C980A-60E0-A626-755C-FAF5045859ED}"/>
            </a:ext>
          </a:extLst>
        </xdr:cNvPr>
        <xdr:cNvPicPr>
          <a:picLocks noChangeAspect="1" noChangeArrowheads="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ackgroundRemoval t="9428" b="89899" l="5509" r="93322">
                      <a14:foregroundMark x1="5676" y1="69024" x2="5676" y2="69024"/>
                      <a14:foregroundMark x1="16861" y1="48822" x2="16861" y2="48822"/>
                      <a14:foregroundMark x1="45910" y1="54209" x2="45910" y2="54209"/>
                      <a14:foregroundMark x1="59599" y1="67340" x2="59599" y2="67340"/>
                      <a14:foregroundMark x1="75292" y1="46465" x2="75292" y2="46465"/>
                      <a14:foregroundMark x1="93322" y1="54209" x2="93322" y2="54209"/>
                    </a14:backgroundRemoval>
                  </a14:imgEffect>
                </a14:imgLayer>
              </a14:imgProps>
            </a:ext>
            <a:ext uri="{28A0092B-C50C-407E-A947-70E740481C1C}">
              <a14:useLocalDpi xmlns:a14="http://schemas.microsoft.com/office/drawing/2010/main" val="0"/>
            </a:ext>
          </a:extLst>
        </a:blip>
        <a:srcRect/>
        <a:stretch>
          <a:fillRect/>
        </a:stretch>
      </xdr:blipFill>
      <xdr:spPr bwMode="auto">
        <a:xfrm>
          <a:off x="4152900" y="847726"/>
          <a:ext cx="2492375" cy="1227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765898</xdr:colOff>
      <xdr:row>58</xdr:row>
      <xdr:rowOff>131127</xdr:rowOff>
    </xdr:from>
    <xdr:to>
      <xdr:col>10</xdr:col>
      <xdr:colOff>433483</xdr:colOff>
      <xdr:row>81</xdr:row>
      <xdr:rowOff>65817</xdr:rowOff>
    </xdr:to>
    <xdr:graphicFrame macro="">
      <xdr:nvGraphicFramePr>
        <xdr:cNvPr id="4" name="Chart 3">
          <a:extLst>
            <a:ext uri="{FF2B5EF4-FFF2-40B4-BE49-F238E27FC236}">
              <a16:creationId xmlns:a16="http://schemas.microsoft.com/office/drawing/2014/main" id="{CA7F2573-5C01-D127-D99A-38F888338A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755255</xdr:colOff>
      <xdr:row>58</xdr:row>
      <xdr:rowOff>135890</xdr:rowOff>
    </xdr:from>
    <xdr:to>
      <xdr:col>19</xdr:col>
      <xdr:colOff>422840</xdr:colOff>
      <xdr:row>81</xdr:row>
      <xdr:rowOff>74390</xdr:rowOff>
    </xdr:to>
    <xdr:graphicFrame macro="">
      <xdr:nvGraphicFramePr>
        <xdr:cNvPr id="5" name="Chart 4">
          <a:extLst>
            <a:ext uri="{FF2B5EF4-FFF2-40B4-BE49-F238E27FC236}">
              <a16:creationId xmlns:a16="http://schemas.microsoft.com/office/drawing/2014/main" id="{66FE9F92-4C22-4722-B8D3-F682AD827D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754302</xdr:colOff>
      <xdr:row>85</xdr:row>
      <xdr:rowOff>129777</xdr:rowOff>
    </xdr:from>
    <xdr:to>
      <xdr:col>19</xdr:col>
      <xdr:colOff>423792</xdr:colOff>
      <xdr:row>108</xdr:row>
      <xdr:rowOff>64467</xdr:rowOff>
    </xdr:to>
    <xdr:graphicFrame macro="">
      <xdr:nvGraphicFramePr>
        <xdr:cNvPr id="2" name="Chart 6">
          <a:extLst>
            <a:ext uri="{FF2B5EF4-FFF2-40B4-BE49-F238E27FC236}">
              <a16:creationId xmlns:a16="http://schemas.microsoft.com/office/drawing/2014/main" id="{23293B54-8A13-0617-19B0-2C8C742CC5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712392</xdr:colOff>
      <xdr:row>115</xdr:row>
      <xdr:rowOff>38345</xdr:rowOff>
    </xdr:from>
    <xdr:to>
      <xdr:col>19</xdr:col>
      <xdr:colOff>465702</xdr:colOff>
      <xdr:row>137</xdr:row>
      <xdr:rowOff>171155</xdr:rowOff>
    </xdr:to>
    <xdr:graphicFrame macro="">
      <xdr:nvGraphicFramePr>
        <xdr:cNvPr id="14" name="Chart 8">
          <a:extLst>
            <a:ext uri="{FF2B5EF4-FFF2-40B4-BE49-F238E27FC236}">
              <a16:creationId xmlns:a16="http://schemas.microsoft.com/office/drawing/2014/main" id="{95D28040-202C-446B-BB89-97C8DB8834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181215</xdr:colOff>
      <xdr:row>116</xdr:row>
      <xdr:rowOff>184038</xdr:rowOff>
    </xdr:from>
    <xdr:to>
      <xdr:col>18</xdr:col>
      <xdr:colOff>438165</xdr:colOff>
      <xdr:row>118</xdr:row>
      <xdr:rowOff>111325</xdr:rowOff>
    </xdr:to>
    <xdr:sp macro="" textlink="">
      <xdr:nvSpPr>
        <xdr:cNvPr id="10" name="Arrow: Right 9">
          <a:extLst>
            <a:ext uri="{FF2B5EF4-FFF2-40B4-BE49-F238E27FC236}">
              <a16:creationId xmlns:a16="http://schemas.microsoft.com/office/drawing/2014/main" id="{349952AF-2BC0-4398-B586-0B04EC64F2FF}"/>
            </a:ext>
          </a:extLst>
        </xdr:cNvPr>
        <xdr:cNvSpPr/>
      </xdr:nvSpPr>
      <xdr:spPr>
        <a:xfrm rot="21230615">
          <a:off x="10870382" y="21253691"/>
          <a:ext cx="5601533" cy="297703"/>
        </a:xfrm>
        <a:prstGeom prst="rightArrow">
          <a:avLst>
            <a:gd name="adj1" fmla="val 50000"/>
            <a:gd name="adj2" fmla="val 78107"/>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kern="1200"/>
            <a:t>5.8% CAGR</a:t>
          </a:r>
        </a:p>
      </xdr:txBody>
    </xdr:sp>
    <xdr:clientData/>
  </xdr:twoCellAnchor>
  <xdr:twoCellAnchor>
    <xdr:from>
      <xdr:col>1</xdr:col>
      <xdr:colOff>765898</xdr:colOff>
      <xdr:row>115</xdr:row>
      <xdr:rowOff>3313</xdr:rowOff>
    </xdr:from>
    <xdr:to>
      <xdr:col>10</xdr:col>
      <xdr:colOff>433483</xdr:colOff>
      <xdr:row>137</xdr:row>
      <xdr:rowOff>132313</xdr:rowOff>
    </xdr:to>
    <xdr:graphicFrame macro="">
      <xdr:nvGraphicFramePr>
        <xdr:cNvPr id="16" name="Chart 5">
          <a:extLst>
            <a:ext uri="{FF2B5EF4-FFF2-40B4-BE49-F238E27FC236}">
              <a16:creationId xmlns:a16="http://schemas.microsoft.com/office/drawing/2014/main" id="{09089D97-5302-146A-B4FA-69228B0CC2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761135</xdr:colOff>
      <xdr:row>141</xdr:row>
      <xdr:rowOff>91660</xdr:rowOff>
    </xdr:from>
    <xdr:to>
      <xdr:col>10</xdr:col>
      <xdr:colOff>438245</xdr:colOff>
      <xdr:row>163</xdr:row>
      <xdr:rowOff>216850</xdr:rowOff>
    </xdr:to>
    <xdr:graphicFrame macro="">
      <xdr:nvGraphicFramePr>
        <xdr:cNvPr id="12" name="Chart 11">
          <a:extLst>
            <a:ext uri="{FF2B5EF4-FFF2-40B4-BE49-F238E27FC236}">
              <a16:creationId xmlns:a16="http://schemas.microsoft.com/office/drawing/2014/main" id="{3635B1DB-A715-F545-1C79-DCF84E9E6E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761135</xdr:colOff>
      <xdr:row>165</xdr:row>
      <xdr:rowOff>115573</xdr:rowOff>
    </xdr:from>
    <xdr:to>
      <xdr:col>10</xdr:col>
      <xdr:colOff>434435</xdr:colOff>
      <xdr:row>188</xdr:row>
      <xdr:rowOff>44548</xdr:rowOff>
    </xdr:to>
    <xdr:graphicFrame macro="">
      <xdr:nvGraphicFramePr>
        <xdr:cNvPr id="3" name="Chart 2">
          <a:extLst>
            <a:ext uri="{FF2B5EF4-FFF2-40B4-BE49-F238E27FC236}">
              <a16:creationId xmlns:a16="http://schemas.microsoft.com/office/drawing/2014/main" id="{09F9697C-34C6-6DA1-F176-DA0200A975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750492</xdr:colOff>
      <xdr:row>141</xdr:row>
      <xdr:rowOff>96227</xdr:rowOff>
    </xdr:from>
    <xdr:to>
      <xdr:col>19</xdr:col>
      <xdr:colOff>427602</xdr:colOff>
      <xdr:row>163</xdr:row>
      <xdr:rowOff>225227</xdr:rowOff>
    </xdr:to>
    <xdr:graphicFrame macro="">
      <xdr:nvGraphicFramePr>
        <xdr:cNvPr id="8" name="Chart 7">
          <a:extLst>
            <a:ext uri="{FF2B5EF4-FFF2-40B4-BE49-F238E27FC236}">
              <a16:creationId xmlns:a16="http://schemas.microsoft.com/office/drawing/2014/main" id="{8B7C045A-7FF1-F446-19CC-6E53453EF1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746682</xdr:colOff>
      <xdr:row>165</xdr:row>
      <xdr:rowOff>115573</xdr:rowOff>
    </xdr:from>
    <xdr:to>
      <xdr:col>19</xdr:col>
      <xdr:colOff>429507</xdr:colOff>
      <xdr:row>188</xdr:row>
      <xdr:rowOff>44548</xdr:rowOff>
    </xdr:to>
    <xdr:graphicFrame macro="">
      <xdr:nvGraphicFramePr>
        <xdr:cNvPr id="11" name="Chart 10">
          <a:extLst>
            <a:ext uri="{FF2B5EF4-FFF2-40B4-BE49-F238E27FC236}">
              <a16:creationId xmlns:a16="http://schemas.microsoft.com/office/drawing/2014/main" id="{CAB9ED4E-3DA3-8F59-06F9-1B7E35114D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762000</xdr:colOff>
      <xdr:row>190</xdr:row>
      <xdr:rowOff>0</xdr:rowOff>
    </xdr:from>
    <xdr:to>
      <xdr:col>10</xdr:col>
      <xdr:colOff>434072</xdr:colOff>
      <xdr:row>212</xdr:row>
      <xdr:rowOff>105600</xdr:rowOff>
    </xdr:to>
    <xdr:graphicFrame macro="">
      <xdr:nvGraphicFramePr>
        <xdr:cNvPr id="6" name="Chart 5">
          <a:extLst>
            <a:ext uri="{FF2B5EF4-FFF2-40B4-BE49-F238E27FC236}">
              <a16:creationId xmlns:a16="http://schemas.microsoft.com/office/drawing/2014/main" id="{18387C39-4745-4026-836E-B108F7D92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757004</xdr:colOff>
      <xdr:row>190</xdr:row>
      <xdr:rowOff>3281</xdr:rowOff>
    </xdr:from>
    <xdr:to>
      <xdr:col>19</xdr:col>
      <xdr:colOff>389106</xdr:colOff>
      <xdr:row>212</xdr:row>
      <xdr:rowOff>16213</xdr:rowOff>
    </xdr:to>
    <xdr:graphicFrame macro="">
      <xdr:nvGraphicFramePr>
        <xdr:cNvPr id="17" name="Chart 8">
          <a:extLst>
            <a:ext uri="{FF2B5EF4-FFF2-40B4-BE49-F238E27FC236}">
              <a16:creationId xmlns:a16="http://schemas.microsoft.com/office/drawing/2014/main" id="{B27E6992-209C-C562-86BC-5536E5CD49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262</xdr:row>
      <xdr:rowOff>0</xdr:rowOff>
    </xdr:from>
    <xdr:to>
      <xdr:col>8</xdr:col>
      <xdr:colOff>57619</xdr:colOff>
      <xdr:row>281</xdr:row>
      <xdr:rowOff>107480</xdr:rowOff>
    </xdr:to>
    <xdr:graphicFrame macro="">
      <xdr:nvGraphicFramePr>
        <xdr:cNvPr id="13" name="Chart 8">
          <a:extLst>
            <a:ext uri="{FF2B5EF4-FFF2-40B4-BE49-F238E27FC236}">
              <a16:creationId xmlns:a16="http://schemas.microsoft.com/office/drawing/2014/main" id="{1145C8DA-D9E3-CB2A-61E8-222E7A1636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233098</xdr:colOff>
      <xdr:row>4</xdr:row>
      <xdr:rowOff>65246</xdr:rowOff>
    </xdr:from>
    <xdr:to>
      <xdr:col>22</xdr:col>
      <xdr:colOff>394730</xdr:colOff>
      <xdr:row>39</xdr:row>
      <xdr:rowOff>171621</xdr:rowOff>
    </xdr:to>
    <xdr:graphicFrame macro="">
      <xdr:nvGraphicFramePr>
        <xdr:cNvPr id="3" name="Chart 1">
          <a:extLst>
            <a:ext uri="{FF2B5EF4-FFF2-40B4-BE49-F238E27FC236}">
              <a16:creationId xmlns:a16="http://schemas.microsoft.com/office/drawing/2014/main" id="{CADDD2AA-D18B-3040-9761-9514F6FEF0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428624</xdr:colOff>
      <xdr:row>24</xdr:row>
      <xdr:rowOff>80961</xdr:rowOff>
    </xdr:from>
    <xdr:to>
      <xdr:col>18</xdr:col>
      <xdr:colOff>114300</xdr:colOff>
      <xdr:row>45</xdr:row>
      <xdr:rowOff>28574</xdr:rowOff>
    </xdr:to>
    <xdr:graphicFrame macro="">
      <xdr:nvGraphicFramePr>
        <xdr:cNvPr id="9" name="Chart 8">
          <a:extLst>
            <a:ext uri="{FF2B5EF4-FFF2-40B4-BE49-F238E27FC236}">
              <a16:creationId xmlns:a16="http://schemas.microsoft.com/office/drawing/2014/main" id="{2DD77F84-A912-FF57-740F-EAFC69B9B3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247649</xdr:colOff>
      <xdr:row>71</xdr:row>
      <xdr:rowOff>28574</xdr:rowOff>
    </xdr:from>
    <xdr:to>
      <xdr:col>17</xdr:col>
      <xdr:colOff>57149</xdr:colOff>
      <xdr:row>80</xdr:row>
      <xdr:rowOff>42861</xdr:rowOff>
    </xdr:to>
    <xdr:graphicFrame macro="">
      <xdr:nvGraphicFramePr>
        <xdr:cNvPr id="10" name="Chart 9">
          <a:extLst>
            <a:ext uri="{FF2B5EF4-FFF2-40B4-BE49-F238E27FC236}">
              <a16:creationId xmlns:a16="http://schemas.microsoft.com/office/drawing/2014/main" id="{14270016-D708-6BEF-5AE3-28C221B46D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590550</xdr:colOff>
      <xdr:row>5</xdr:row>
      <xdr:rowOff>104774</xdr:rowOff>
    </xdr:from>
    <xdr:to>
      <xdr:col>13</xdr:col>
      <xdr:colOff>1527141</xdr:colOff>
      <xdr:row>22</xdr:row>
      <xdr:rowOff>152400</xdr:rowOff>
    </xdr:to>
    <xdr:graphicFrame macro="">
      <xdr:nvGraphicFramePr>
        <xdr:cNvPr id="3" name="Chart 2">
          <a:extLst>
            <a:ext uri="{FF2B5EF4-FFF2-40B4-BE49-F238E27FC236}">
              <a16:creationId xmlns:a16="http://schemas.microsoft.com/office/drawing/2014/main" id="{7697D138-FD75-8083-F638-8D49721A1E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66033</xdr:colOff>
      <xdr:row>22</xdr:row>
      <xdr:rowOff>2720</xdr:rowOff>
    </xdr:from>
    <xdr:to>
      <xdr:col>27</xdr:col>
      <xdr:colOff>33616</xdr:colOff>
      <xdr:row>38</xdr:row>
      <xdr:rowOff>179293</xdr:rowOff>
    </xdr:to>
    <xdr:graphicFrame macro="">
      <xdr:nvGraphicFramePr>
        <xdr:cNvPr id="2" name="Chart 1">
          <a:extLst>
            <a:ext uri="{FF2B5EF4-FFF2-40B4-BE49-F238E27FC236}">
              <a16:creationId xmlns:a16="http://schemas.microsoft.com/office/drawing/2014/main" id="{429BF389-FEF7-79D6-F44C-F46E0CFAA3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4041321</xdr:colOff>
      <xdr:row>168</xdr:row>
      <xdr:rowOff>95250</xdr:rowOff>
    </xdr:from>
    <xdr:to>
      <xdr:col>2</xdr:col>
      <xdr:colOff>1102178</xdr:colOff>
      <xdr:row>187</xdr:row>
      <xdr:rowOff>163286</xdr:rowOff>
    </xdr:to>
    <xdr:graphicFrame macro="">
      <xdr:nvGraphicFramePr>
        <xdr:cNvPr id="58" name="Chart 6">
          <a:extLst>
            <a:ext uri="{FF2B5EF4-FFF2-40B4-BE49-F238E27FC236}">
              <a16:creationId xmlns:a16="http://schemas.microsoft.com/office/drawing/2014/main" id="{1D081620-DD90-6A11-302F-B847321E28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439963</xdr:colOff>
      <xdr:row>168</xdr:row>
      <xdr:rowOff>77106</xdr:rowOff>
    </xdr:from>
    <xdr:to>
      <xdr:col>11</xdr:col>
      <xdr:colOff>54429</xdr:colOff>
      <xdr:row>187</xdr:row>
      <xdr:rowOff>163951</xdr:rowOff>
    </xdr:to>
    <xdr:graphicFrame macro="">
      <xdr:nvGraphicFramePr>
        <xdr:cNvPr id="59" name="Chart 8">
          <a:extLst>
            <a:ext uri="{FF2B5EF4-FFF2-40B4-BE49-F238E27FC236}">
              <a16:creationId xmlns:a16="http://schemas.microsoft.com/office/drawing/2014/main" id="{33FBFE98-BE81-0E6A-A735-D17D7F7752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73269</xdr:colOff>
      <xdr:row>254</xdr:row>
      <xdr:rowOff>134257</xdr:rowOff>
    </xdr:from>
    <xdr:to>
      <xdr:col>13</xdr:col>
      <xdr:colOff>388327</xdr:colOff>
      <xdr:row>273</xdr:row>
      <xdr:rowOff>102578</xdr:rowOff>
    </xdr:to>
    <xdr:graphicFrame macro="">
      <xdr:nvGraphicFramePr>
        <xdr:cNvPr id="173" name="Chart 9">
          <a:extLst>
            <a:ext uri="{FF2B5EF4-FFF2-40B4-BE49-F238E27FC236}">
              <a16:creationId xmlns:a16="http://schemas.microsoft.com/office/drawing/2014/main" id="{58890D77-2360-39AA-1D91-84ACEB4BD2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471055</xdr:colOff>
      <xdr:row>319</xdr:row>
      <xdr:rowOff>96982</xdr:rowOff>
    </xdr:from>
    <xdr:to>
      <xdr:col>12</xdr:col>
      <xdr:colOff>83127</xdr:colOff>
      <xdr:row>333</xdr:row>
      <xdr:rowOff>125769</xdr:rowOff>
    </xdr:to>
    <xdr:graphicFrame macro="">
      <xdr:nvGraphicFramePr>
        <xdr:cNvPr id="4" name="Chart 3">
          <a:extLst>
            <a:ext uri="{FF2B5EF4-FFF2-40B4-BE49-F238E27FC236}">
              <a16:creationId xmlns:a16="http://schemas.microsoft.com/office/drawing/2014/main" id="{DBCB021A-BC4F-4C17-990B-62BA6F4C79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Ferraresi,A (ug)" id="{B43155BC-67CE-4EB0-8B12-B4B86073DD91}" userId="S::A.Ferraresi@lse.ac.uk::d0ce78b8-283d-41ee-983c-b660331f610b" providerId="AD"/>
  <person displayName="Paraskeva,W (ug)" id="{B7F8CA2B-81B3-44B0-9CF3-B94727967DDE}" userId="S::W.Paraskeva@lse.ac.uk::36216825-a86f-454b-89ef-5f0fc4734ed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U8" dT="2025-11-18T18:37:31.76" personId="{B43155BC-67CE-4EB0-8B12-B4B86073DD91}" id="{1F8EFE9B-A027-4F31-B7E3-719C5BBCB508}">
    <text>Assume leases not refinanced so just ST + LT  borrowings</text>
  </threadedComment>
  <threadedComment ref="P239" dT="2025-11-29T11:05:46.53" personId="{B7F8CA2B-81B3-44B0-9CF3-B94727967DDE}" id="{D78B33E1-1E4D-4802-A6AF-39E20087341E}">
    <text xml:space="preserve">2025e Based on Q1 and Q2 growth rates. Averaged them. </text>
  </threadedComment>
</ThreadedComments>
</file>

<file path=xl/threadedComments/threadedComment2.xml><?xml version="1.0" encoding="utf-8"?>
<ThreadedComments xmlns="http://schemas.microsoft.com/office/spreadsheetml/2018/threadedcomments" xmlns:x="http://schemas.openxmlformats.org/spreadsheetml/2006/main">
  <threadedComment ref="L9" dT="2025-11-18T18:37:31.76" personId="{B43155BC-67CE-4EB0-8B12-B4B86073DD91}" id="{7A40BFEC-FB3F-4F03-9377-7EE58B052F31}">
    <text>Assume leases not refinanced so just ST + LT  borrowings</text>
  </threadedComment>
  <threadedComment ref="F10" dT="2025-11-18T19:47:49.75" personId="{B43155BC-67CE-4EB0-8B12-B4B86073DD91}" id="{0835D51C-3B7A-4A44-940E-10B0E7F18A6C}">
    <text>Loan amount in euros is 950mn. Using exchange rate of 1 euro= £0.88</text>
  </threadedComment>
  <threadedComment ref="F11" dT="2025-11-18T19:48:57.21" personId="{B43155BC-67CE-4EB0-8B12-B4B86073DD91}" id="{B7BF24B4-33E6-43A7-9FA5-B71FEDF534EC}">
    <text>Loan amount in dollars is $900 mn. Using exchange rate of $1=£0.76</text>
  </threadedComment>
  <threadedComment ref="F29" dT="2025-11-17T21:37:20.33" personId="{B43155BC-67CE-4EB0-8B12-B4B86073DD91}" id="{3E82E6B2-76B9-452D-8224-D4B2BA549336}">
    <text>Announcement says in or before Q1. For a lack of a better estimate and for sake of simplicity can assume soy</text>
  </threadedComment>
  <threadedComment ref="F29" dT="2025-11-24T11:31:42.26" personId="{B7F8CA2B-81B3-44B0-9CF3-B94727967DDE}" id="{D70A16CC-3A45-46A5-988A-32F736DEF73E}" parentId="{3E82E6B2-76B9-452D-8224-D4B2BA549336}">
    <text>Blomberg terminal puts it at 31/3/2026</text>
  </threadedComment>
  <threadedComment ref="I44" dT="2025-11-18T19:29:11.93" personId="{B43155BC-67CE-4EB0-8B12-B4B86073DD91}" id="{C0E851A6-5452-48EA-AC30-6AA04F5DAC29}">
    <text>Per facility currency</text>
  </threadedComment>
  <threadedComment ref="F46" dT="2025-11-18T19:15:32.08" personId="{B43155BC-67CE-4EB0-8B12-B4B86073DD91}" id="{3B01749E-63A3-409D-90C6-E38234BBEECF}">
    <text>Both USD and EUR Term loan include an Original Issue Discount (OID) of 1.00% as outlined in the fee letter</text>
  </threadedComment>
</ThreadedComments>
</file>

<file path=xl/threadedComments/threadedComment3.xml><?xml version="1.0" encoding="utf-8"?>
<ThreadedComments xmlns="http://schemas.microsoft.com/office/spreadsheetml/2018/threadedcomments" xmlns:x="http://schemas.openxmlformats.org/spreadsheetml/2006/main">
  <threadedComment ref="K52" dT="2025-11-29T11:05:46.53" personId="{B7F8CA2B-81B3-44B0-9CF3-B94727967DDE}" id="{B9C3CF00-8CB4-4DCA-9F0F-6D5772859037}">
    <text xml:space="preserve">2025e Based on Q1 and Q2 growth rates. Averaged them. </text>
  </threadedComment>
  <threadedComment ref="B54" dT="2025-11-27T10:33:43.01" personId="{B7F8CA2B-81B3-44B0-9CF3-B94727967DDE}" id="{2DA9AEE5-9471-4B34-901B-621ACE352584}">
    <text xml:space="preserve">Sales Growth of mid-teens expected for 2024-2029. </text>
  </threadedComment>
  <threadedComment ref="B60" dT="2025-11-27T10:41:13.08" personId="{B7F8CA2B-81B3-44B0-9CF3-B94727967DDE}" id="{5A8BD516-82EB-421B-B18E-EE0EC4380FC8}">
    <text xml:space="preserve">“Sustained future growth expected to be significantly ahead of 6-7%”
</text>
  </threadedComment>
  <threadedComment ref="K66" dT="2025-11-29T11:05:46.53" personId="{B7F8CA2B-81B3-44B0-9CF3-B94727967DDE}" id="{188363AB-D18A-4568-8689-7C16C0C9DA9C}">
    <text xml:space="preserve">2025e Based on Q1 and Q2 growth rates. Averaged them. </text>
  </threadedComment>
  <threadedComment ref="B108" dT="2025-11-29T12:43:34.89" personId="{B7F8CA2B-81B3-44B0-9CF3-B94727967DDE}" id="{9EE68E2E-EAD7-461A-9BAE-3B4E877EC3AD}">
    <text>Consensus Estimate. Capex not expected to grow too much</text>
  </threadedComment>
  <threadedComment ref="B108" dT="2025-11-29T12:47:21.96" personId="{B7F8CA2B-81B3-44B0-9CF3-B94727967DDE}" id="{F8481825-6BA9-41D1-9D68-7F9FB06471BC}" parentId="{9EE68E2E-EAD7-461A-9BAE-3B4E877EC3AD}">
    <text>Slight revision upwards so their PPE isn’t reduced to 0</text>
  </threadedComment>
  <threadedComment ref="B120" dT="2025-12-01T18:15:57.38" personId="{B43155BC-67CE-4EB0-8B12-B4B86073DD91}" id="{805EE150-B85C-456E-ABC4-196CA21B37B5}">
    <text>Market-implied forward-looking yield curve (1 month)</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linkedin.com/company/lsesu-private-equity-society/" TargetMode="External"/><Relationship Id="rId1" Type="http://schemas.openxmlformats.org/officeDocument/2006/relationships/hyperlink" Target="https://www.lsepes.com/report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8086C-7223-4624-9DF3-79A4192A9A11}">
  <dimension ref="B1:K18"/>
  <sheetViews>
    <sheetView showGridLines="0" tabSelected="1" workbookViewId="0">
      <selection activeCell="B2" sqref="B2"/>
    </sheetView>
  </sheetViews>
  <sheetFormatPr defaultColWidth="8.88671875" defaultRowHeight="14.4" x14ac:dyDescent="0.3"/>
  <sheetData>
    <row r="1" spans="2:11" ht="15" thickBot="1" x14ac:dyDescent="0.35"/>
    <row r="2" spans="2:11" x14ac:dyDescent="0.3">
      <c r="B2" s="391"/>
      <c r="C2" s="392"/>
      <c r="D2" s="392"/>
      <c r="E2" s="392"/>
      <c r="F2" s="392"/>
      <c r="G2" s="392"/>
      <c r="H2" s="392"/>
      <c r="I2" s="392"/>
      <c r="J2" s="392"/>
      <c r="K2" s="393"/>
    </row>
    <row r="3" spans="2:11" ht="31.2" x14ac:dyDescent="0.6">
      <c r="B3" s="394"/>
      <c r="C3" s="19"/>
      <c r="D3" s="398" t="s">
        <v>0</v>
      </c>
      <c r="E3" s="271"/>
      <c r="F3" s="271"/>
      <c r="G3" s="271"/>
      <c r="H3" s="271"/>
      <c r="I3" s="271"/>
      <c r="K3" s="395"/>
    </row>
    <row r="4" spans="2:11" x14ac:dyDescent="0.3">
      <c r="B4" s="394"/>
      <c r="K4" s="395"/>
    </row>
    <row r="5" spans="2:11" x14ac:dyDescent="0.3">
      <c r="B5" s="394"/>
      <c r="K5" s="395"/>
    </row>
    <row r="6" spans="2:11" x14ac:dyDescent="0.3">
      <c r="B6" s="394"/>
      <c r="K6" s="395"/>
    </row>
    <row r="7" spans="2:11" x14ac:dyDescent="0.3">
      <c r="B7" s="394"/>
      <c r="K7" s="395"/>
    </row>
    <row r="8" spans="2:11" x14ac:dyDescent="0.3">
      <c r="B8" s="394"/>
      <c r="F8" s="93"/>
      <c r="K8" s="395"/>
    </row>
    <row r="9" spans="2:11" x14ac:dyDescent="0.3">
      <c r="B9" s="394"/>
      <c r="K9" s="395"/>
    </row>
    <row r="10" spans="2:11" x14ac:dyDescent="0.3">
      <c r="B10" s="394"/>
      <c r="K10" s="395"/>
    </row>
    <row r="11" spans="2:11" x14ac:dyDescent="0.3">
      <c r="B11" s="394"/>
      <c r="K11" s="395"/>
    </row>
    <row r="12" spans="2:11" x14ac:dyDescent="0.3">
      <c r="B12" s="394"/>
      <c r="K12" s="395"/>
    </row>
    <row r="13" spans="2:11" x14ac:dyDescent="0.3">
      <c r="B13" s="394"/>
      <c r="K13" s="395"/>
    </row>
    <row r="14" spans="2:11" x14ac:dyDescent="0.3">
      <c r="B14" s="394"/>
      <c r="K14" s="395"/>
    </row>
    <row r="15" spans="2:11" x14ac:dyDescent="0.3">
      <c r="B15" s="394"/>
      <c r="K15" s="395"/>
    </row>
    <row r="16" spans="2:11" x14ac:dyDescent="0.3">
      <c r="B16" s="394"/>
      <c r="K16" s="395"/>
    </row>
    <row r="17" spans="2:11" x14ac:dyDescent="0.3">
      <c r="B17" s="402" t="s">
        <v>1</v>
      </c>
      <c r="K17" s="395"/>
    </row>
    <row r="18" spans="2:11" ht="15" thickBot="1" x14ac:dyDescent="0.35">
      <c r="B18" s="403" t="s">
        <v>2</v>
      </c>
      <c r="C18" s="396"/>
      <c r="D18" s="396"/>
      <c r="E18" s="396"/>
      <c r="F18" s="396"/>
      <c r="G18" s="396"/>
      <c r="H18" s="396"/>
      <c r="I18" s="396"/>
      <c r="J18" s="396"/>
      <c r="K18" s="397"/>
    </row>
  </sheetData>
  <hyperlinks>
    <hyperlink ref="B17" r:id="rId1" xr:uid="{789AC2B1-1184-4B05-B36D-08AAA1EAC2DB}"/>
    <hyperlink ref="B18" r:id="rId2" xr:uid="{95514347-9356-489A-BB44-6E53515FE9E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9E875-DDC4-45FD-B0F9-BCCE510985EA}">
  <dimension ref="A2:W263"/>
  <sheetViews>
    <sheetView showGridLines="0" zoomScale="85" zoomScaleNormal="85" workbookViewId="0">
      <selection activeCell="B2" sqref="B2"/>
    </sheetView>
  </sheetViews>
  <sheetFormatPr defaultColWidth="12.6640625" defaultRowHeight="14.4" x14ac:dyDescent="0.3"/>
  <cols>
    <col min="1" max="1" width="4.6640625" style="388" customWidth="1"/>
  </cols>
  <sheetData>
    <row r="2" spans="1:23" ht="21" x14ac:dyDescent="0.4">
      <c r="A2" s="388" t="s">
        <v>3</v>
      </c>
      <c r="B2" s="9" t="s">
        <v>4</v>
      </c>
      <c r="C2" s="9"/>
      <c r="D2" s="9"/>
      <c r="E2" s="9"/>
      <c r="F2" s="9"/>
      <c r="G2" s="9"/>
      <c r="H2" s="9"/>
      <c r="J2" s="9" t="s">
        <v>5</v>
      </c>
      <c r="K2" s="9"/>
      <c r="L2" s="9"/>
      <c r="M2" s="9"/>
      <c r="N2" s="9"/>
      <c r="O2" s="9"/>
      <c r="P2" s="9"/>
      <c r="Q2" s="9"/>
      <c r="R2" s="9"/>
      <c r="S2" s="9"/>
      <c r="T2" s="9"/>
      <c r="U2" s="9"/>
      <c r="V2" s="9"/>
      <c r="W2" s="9"/>
    </row>
    <row r="4" spans="1:23" x14ac:dyDescent="0.3">
      <c r="B4" s="23" t="s">
        <v>6</v>
      </c>
      <c r="C4" s="23"/>
      <c r="D4" s="23"/>
      <c r="E4" s="23"/>
      <c r="F4" s="23"/>
    </row>
    <row r="6" spans="1:23" x14ac:dyDescent="0.3">
      <c r="B6" s="12" t="s">
        <v>7</v>
      </c>
      <c r="C6" s="12"/>
      <c r="D6" s="12"/>
      <c r="E6" s="12"/>
      <c r="F6" s="12"/>
      <c r="G6" s="12"/>
      <c r="J6" s="14" t="s">
        <v>8</v>
      </c>
      <c r="K6" s="14"/>
      <c r="L6" s="14"/>
      <c r="M6" s="12" t="s">
        <v>9</v>
      </c>
      <c r="N6" s="12" t="s">
        <v>10</v>
      </c>
      <c r="R6" s="14" t="s">
        <v>11</v>
      </c>
      <c r="S6" s="13"/>
      <c r="T6" s="13"/>
      <c r="U6" s="13"/>
    </row>
    <row r="7" spans="1:23" x14ac:dyDescent="0.3">
      <c r="B7" s="15" t="s">
        <v>12</v>
      </c>
      <c r="C7" s="15"/>
      <c r="D7" s="15"/>
      <c r="E7" s="15"/>
      <c r="F7" s="15"/>
      <c r="G7" s="262">
        <f ca="1">'Transaction Details'!C8</f>
        <v>20.000777675339581</v>
      </c>
      <c r="J7" s="15" t="s">
        <v>13</v>
      </c>
      <c r="K7" s="15"/>
      <c r="L7" s="15"/>
      <c r="M7" s="90">
        <f ca="1">'Transaction Details'!F8</f>
        <v>0</v>
      </c>
      <c r="N7" s="262">
        <f ca="1">'Transaction Details'!G8</f>
        <v>0</v>
      </c>
      <c r="R7" s="15" t="s">
        <v>14</v>
      </c>
      <c r="U7" s="90">
        <f>'Transaction Details'!L8</f>
        <v>4146.1876569999995</v>
      </c>
    </row>
    <row r="8" spans="1:23" x14ac:dyDescent="0.3">
      <c r="B8" s="15" t="s">
        <v>15</v>
      </c>
      <c r="C8" s="15"/>
      <c r="D8" s="15"/>
      <c r="E8" s="15"/>
      <c r="F8" s="15"/>
      <c r="G8" s="262">
        <f>'Transaction Details'!C9</f>
        <v>19.996022008001116</v>
      </c>
      <c r="J8" s="15" t="s">
        <v>16</v>
      </c>
      <c r="K8" s="15"/>
      <c r="L8" s="15"/>
      <c r="M8" s="90">
        <f>'Transaction Details'!F9</f>
        <v>200</v>
      </c>
      <c r="N8" s="262">
        <f>'Transaction Details'!G9</f>
        <v>0.86906684695448666</v>
      </c>
      <c r="R8" s="15" t="s">
        <v>17</v>
      </c>
      <c r="U8" s="90">
        <f ca="1">'Transaction Details'!L9</f>
        <v>490.16307995346784</v>
      </c>
    </row>
    <row r="9" spans="1:23" x14ac:dyDescent="0.3">
      <c r="B9" s="15" t="s">
        <v>18</v>
      </c>
      <c r="C9" s="15"/>
      <c r="D9" s="15"/>
      <c r="E9" s="15"/>
      <c r="F9" s="15"/>
      <c r="G9" s="263">
        <f>'Transaction Details'!C10</f>
        <v>230.13189457274748</v>
      </c>
      <c r="J9" s="15" t="s">
        <v>19</v>
      </c>
      <c r="K9" s="15"/>
      <c r="L9" s="15"/>
      <c r="M9" s="90">
        <f>'Transaction Details'!F10</f>
        <v>858</v>
      </c>
      <c r="N9" s="262">
        <f>'Transaction Details'!G10</f>
        <v>3.7282967734347476</v>
      </c>
      <c r="R9" s="15" t="s">
        <v>20</v>
      </c>
      <c r="U9" s="92">
        <f ca="1">'Transaction Details'!L10</f>
        <v>142.05201473906936</v>
      </c>
    </row>
    <row r="10" spans="1:23" x14ac:dyDescent="0.3">
      <c r="B10" s="15" t="s">
        <v>21</v>
      </c>
      <c r="C10" s="15"/>
      <c r="D10" s="15"/>
      <c r="E10" s="15"/>
      <c r="F10" s="15"/>
      <c r="G10" s="210" t="str">
        <f ca="1">'Transaction Details'!C11</f>
        <v>No</v>
      </c>
      <c r="J10" s="15" t="s">
        <v>22</v>
      </c>
      <c r="K10" s="15"/>
      <c r="L10" s="15"/>
      <c r="M10" s="90">
        <f>'Transaction Details'!F11</f>
        <v>684</v>
      </c>
      <c r="N10" s="262">
        <f>'Transaction Details'!G11</f>
        <v>2.9722086165843442</v>
      </c>
      <c r="R10" s="29" t="s">
        <v>23</v>
      </c>
      <c r="U10" s="90">
        <f ca="1">'Transaction Details'!L11</f>
        <v>4778.4027516925362</v>
      </c>
    </row>
    <row r="11" spans="1:23" x14ac:dyDescent="0.3">
      <c r="G11" s="210"/>
      <c r="J11" s="15" t="s">
        <v>24</v>
      </c>
      <c r="K11" s="15"/>
      <c r="L11" s="15"/>
      <c r="M11" s="92">
        <f ca="1">'Transaction Details'!F12</f>
        <v>3036.4027516925362</v>
      </c>
      <c r="N11" s="220">
        <f ca="1">'Transaction Details'!G12</f>
        <v>13.194184827486797</v>
      </c>
    </row>
    <row r="12" spans="1:23" x14ac:dyDescent="0.3">
      <c r="B12" s="12" t="s">
        <v>25</v>
      </c>
      <c r="C12" s="12"/>
      <c r="D12" s="12"/>
      <c r="E12" s="12"/>
      <c r="F12" s="12"/>
      <c r="G12" s="264"/>
      <c r="J12" s="29" t="s">
        <v>26</v>
      </c>
      <c r="K12" s="29"/>
      <c r="L12" s="29"/>
      <c r="M12" s="90">
        <f ca="1">'Transaction Details'!F13</f>
        <v>4778.4027516925362</v>
      </c>
      <c r="N12" s="262">
        <f ca="1">'Transaction Details'!G13</f>
        <v>20.763757064460378</v>
      </c>
    </row>
    <row r="13" spans="1:23" x14ac:dyDescent="0.3">
      <c r="B13" s="15" t="s">
        <v>27</v>
      </c>
      <c r="C13" s="15"/>
      <c r="D13" s="15"/>
      <c r="E13" s="15"/>
      <c r="F13" s="15"/>
      <c r="G13" s="90">
        <f>'Transaction Details'!C14</f>
        <v>4146.1876569999995</v>
      </c>
    </row>
    <row r="14" spans="1:23" x14ac:dyDescent="0.3">
      <c r="B14" s="15" t="s">
        <v>28</v>
      </c>
      <c r="C14" s="15"/>
      <c r="D14" s="15"/>
      <c r="E14" s="15"/>
      <c r="F14" s="15"/>
      <c r="G14" s="263">
        <f>'Transaction Details'!C15</f>
        <v>82.623000000000005</v>
      </c>
    </row>
    <row r="15" spans="1:23" x14ac:dyDescent="0.3">
      <c r="B15" s="29" t="s">
        <v>29</v>
      </c>
      <c r="C15" s="29"/>
      <c r="D15" s="29"/>
      <c r="E15" s="29"/>
      <c r="F15" s="29"/>
      <c r="G15" s="265">
        <f>'Transaction Details'!C16</f>
        <v>4146.1876569999995</v>
      </c>
    </row>
    <row r="16" spans="1:23" x14ac:dyDescent="0.3">
      <c r="B16" s="15" t="s">
        <v>30</v>
      </c>
      <c r="C16" s="15"/>
      <c r="D16" s="15"/>
      <c r="E16" s="15"/>
      <c r="F16" s="15"/>
      <c r="G16" s="263">
        <f ca="1">'Transaction Details'!C17</f>
        <v>0</v>
      </c>
    </row>
    <row r="17" spans="2:23" x14ac:dyDescent="0.3">
      <c r="B17" s="15" t="s">
        <v>31</v>
      </c>
      <c r="C17" s="15"/>
      <c r="D17" s="15"/>
      <c r="E17" s="15"/>
      <c r="F17" s="15"/>
      <c r="G17" s="263">
        <f ca="1">'Transaction Details'!C18</f>
        <v>490.16307995346784</v>
      </c>
    </row>
    <row r="18" spans="2:23" x14ac:dyDescent="0.3">
      <c r="B18" s="29" t="s">
        <v>32</v>
      </c>
      <c r="C18" s="29"/>
      <c r="D18" s="29"/>
      <c r="E18" s="29"/>
      <c r="F18" s="29"/>
      <c r="G18" s="266">
        <f ca="1">'Transaction Details'!C19</f>
        <v>490.16307995346784</v>
      </c>
    </row>
    <row r="19" spans="2:23" x14ac:dyDescent="0.3">
      <c r="B19" s="15" t="s">
        <v>33</v>
      </c>
      <c r="C19" s="15"/>
      <c r="D19" s="15"/>
      <c r="E19" s="15"/>
      <c r="F19" s="15"/>
      <c r="G19" s="263">
        <f ca="1">'Transaction Details'!C20</f>
        <v>32.833877599257598</v>
      </c>
    </row>
    <row r="20" spans="2:23" x14ac:dyDescent="0.3">
      <c r="B20" s="15" t="s">
        <v>34</v>
      </c>
      <c r="C20" s="15"/>
      <c r="D20" s="15"/>
      <c r="E20" s="15"/>
      <c r="F20" s="15"/>
      <c r="G20" s="263">
        <f>'Transaction Details'!C21</f>
        <v>0.7</v>
      </c>
    </row>
    <row r="21" spans="2:23" x14ac:dyDescent="0.3">
      <c r="B21" s="29" t="s">
        <v>35</v>
      </c>
      <c r="C21" s="29"/>
      <c r="D21" s="29"/>
      <c r="E21" s="29"/>
      <c r="F21" s="29"/>
      <c r="G21" s="266">
        <f ca="1">'Transaction Details'!C22</f>
        <v>456.62920235421024</v>
      </c>
    </row>
    <row r="22" spans="2:23" x14ac:dyDescent="0.3">
      <c r="B22" s="15"/>
      <c r="C22" s="15"/>
      <c r="D22" s="15"/>
      <c r="E22" s="15"/>
      <c r="F22" s="15"/>
      <c r="G22" s="210"/>
    </row>
    <row r="23" spans="2:23" x14ac:dyDescent="0.3">
      <c r="B23" s="15" t="s">
        <v>36</v>
      </c>
      <c r="C23" s="15"/>
      <c r="D23" s="15"/>
      <c r="E23" s="15"/>
      <c r="F23" s="15"/>
      <c r="G23" s="90">
        <f ca="1">'Transaction Details'!C24</f>
        <v>4602.8168593542096</v>
      </c>
    </row>
    <row r="24" spans="2:23" x14ac:dyDescent="0.3">
      <c r="B24" s="15"/>
      <c r="C24" s="15"/>
      <c r="D24" s="15"/>
      <c r="E24" s="15"/>
      <c r="F24" s="15"/>
      <c r="G24" s="210"/>
    </row>
    <row r="25" spans="2:23" x14ac:dyDescent="0.3">
      <c r="B25" s="15" t="s">
        <v>37</v>
      </c>
      <c r="C25" s="15"/>
      <c r="D25" s="15"/>
      <c r="E25" s="15"/>
      <c r="F25" s="15"/>
      <c r="G25" s="267">
        <f>'Transaction Details'!C26</f>
        <v>99.309883999999997</v>
      </c>
    </row>
    <row r="26" spans="2:23" x14ac:dyDescent="0.3">
      <c r="B26" s="15" t="s">
        <v>38</v>
      </c>
      <c r="C26" s="15"/>
      <c r="D26" s="15"/>
      <c r="E26" s="15"/>
      <c r="F26" s="15"/>
      <c r="G26" s="268">
        <f>'Transaction Details'!C27</f>
        <v>41.75</v>
      </c>
    </row>
    <row r="27" spans="2:23" x14ac:dyDescent="0.3">
      <c r="B27" s="15" t="s">
        <v>39</v>
      </c>
      <c r="C27" s="15"/>
      <c r="D27" s="15"/>
      <c r="E27" s="15"/>
      <c r="F27" s="15"/>
      <c r="G27" s="268">
        <f>'Transaction Details'!C28</f>
        <v>20.38</v>
      </c>
    </row>
    <row r="28" spans="2:23" x14ac:dyDescent="0.3">
      <c r="B28" s="15" t="s">
        <v>40</v>
      </c>
      <c r="C28" s="15"/>
      <c r="D28" s="15"/>
      <c r="E28" s="15"/>
      <c r="F28" s="15"/>
      <c r="G28" s="269">
        <f>'Transaction Details'!C29</f>
        <v>1.0485770363101081</v>
      </c>
    </row>
    <row r="29" spans="2:23" x14ac:dyDescent="0.3">
      <c r="B29" s="15"/>
      <c r="C29" s="15"/>
      <c r="D29" s="15"/>
      <c r="E29" s="15"/>
      <c r="F29" s="15"/>
      <c r="G29" s="269"/>
    </row>
    <row r="30" spans="2:23" x14ac:dyDescent="0.3">
      <c r="B30" s="15"/>
      <c r="C30" s="15"/>
      <c r="D30" s="15"/>
      <c r="E30" s="15"/>
      <c r="F30" s="15"/>
    </row>
    <row r="31" spans="2:23" ht="21" x14ac:dyDescent="0.4">
      <c r="B31" s="9" t="s">
        <v>41</v>
      </c>
      <c r="C31" s="9"/>
      <c r="D31" s="9"/>
      <c r="E31" s="9"/>
      <c r="F31" s="9"/>
      <c r="G31" s="9"/>
      <c r="H31" s="9"/>
      <c r="I31" s="9"/>
      <c r="J31" s="9"/>
      <c r="K31" s="9"/>
      <c r="L31" s="9"/>
      <c r="M31" s="9"/>
      <c r="N31" s="9"/>
      <c r="O31" s="9"/>
      <c r="P31" s="9"/>
      <c r="Q31" s="9"/>
      <c r="R31" s="9"/>
      <c r="S31" s="9"/>
      <c r="T31" s="9"/>
      <c r="U31" s="9"/>
      <c r="V31" s="9"/>
      <c r="W31" s="9"/>
    </row>
    <row r="32" spans="2:23" x14ac:dyDescent="0.3">
      <c r="B32" s="15"/>
      <c r="C32" s="15"/>
      <c r="D32" s="15"/>
      <c r="E32" s="15"/>
      <c r="F32" s="15"/>
    </row>
    <row r="33" spans="1:23" ht="18" x14ac:dyDescent="0.35">
      <c r="B33" s="270" t="s">
        <v>42</v>
      </c>
      <c r="C33" s="270"/>
      <c r="D33" s="270"/>
      <c r="E33" s="270"/>
      <c r="F33" s="270"/>
      <c r="G33" s="270"/>
      <c r="I33" s="270" t="s">
        <v>43</v>
      </c>
      <c r="J33" s="270"/>
      <c r="K33" s="270"/>
      <c r="L33" s="270"/>
      <c r="M33" s="270"/>
      <c r="N33" s="270"/>
      <c r="P33" s="270" t="s">
        <v>44</v>
      </c>
      <c r="Q33" s="270"/>
      <c r="R33" s="270"/>
      <c r="S33" s="270"/>
      <c r="T33" s="270"/>
      <c r="U33" s="270"/>
    </row>
    <row r="34" spans="1:23" x14ac:dyDescent="0.3">
      <c r="B34" s="15"/>
      <c r="C34" s="15"/>
      <c r="D34" s="15"/>
      <c r="E34" s="15"/>
      <c r="F34" s="15"/>
    </row>
    <row r="35" spans="1:23" ht="21" x14ac:dyDescent="0.4">
      <c r="B35" s="404">
        <f ca="1">'Transaction Details'!C47</f>
        <v>3036.4027516925362</v>
      </c>
      <c r="C35" s="271"/>
      <c r="D35" s="271"/>
      <c r="E35" s="271"/>
      <c r="F35" s="271"/>
      <c r="G35" s="271"/>
      <c r="I35" s="399">
        <f ca="1">Model!C421</f>
        <v>0.15088873505592348</v>
      </c>
      <c r="J35" s="271"/>
      <c r="K35" s="271"/>
      <c r="L35" s="271"/>
      <c r="M35" s="271"/>
      <c r="N35" s="271"/>
      <c r="P35" s="272">
        <f ca="1">Model!D421</f>
        <v>2.2455251669970728</v>
      </c>
      <c r="Q35" s="271"/>
      <c r="R35" s="271"/>
      <c r="S35" s="271"/>
      <c r="T35" s="271"/>
      <c r="U35" s="271"/>
    </row>
    <row r="36" spans="1:23" x14ac:dyDescent="0.3">
      <c r="B36" s="15"/>
      <c r="C36" s="15"/>
      <c r="D36" s="15"/>
      <c r="E36" s="15"/>
      <c r="F36" s="15"/>
    </row>
    <row r="37" spans="1:23" ht="21" x14ac:dyDescent="0.4">
      <c r="A37" s="388" t="s">
        <v>3</v>
      </c>
      <c r="B37" s="9" t="s">
        <v>45</v>
      </c>
      <c r="C37" s="9"/>
      <c r="D37" s="9"/>
      <c r="E37" s="9"/>
      <c r="F37" s="9"/>
      <c r="G37" s="9"/>
      <c r="H37" s="9"/>
      <c r="I37" s="9"/>
      <c r="J37" s="9"/>
      <c r="K37" s="9"/>
      <c r="L37" s="9"/>
      <c r="M37" s="9"/>
      <c r="N37" s="9"/>
      <c r="O37" s="9"/>
      <c r="P37" s="9"/>
      <c r="Q37" s="9"/>
      <c r="R37" s="9"/>
      <c r="S37" s="9"/>
      <c r="T37" s="9"/>
      <c r="U37" s="9"/>
      <c r="V37" s="9"/>
      <c r="W37" s="9"/>
    </row>
    <row r="38" spans="1:23" x14ac:dyDescent="0.3">
      <c r="B38" s="15"/>
      <c r="C38" s="15"/>
      <c r="D38" s="15"/>
      <c r="E38" s="15"/>
      <c r="F38" s="15"/>
    </row>
    <row r="39" spans="1:23" ht="15" thickBot="1" x14ac:dyDescent="0.35">
      <c r="B39" s="15"/>
      <c r="C39" s="15"/>
      <c r="D39" s="15"/>
      <c r="E39" s="15"/>
      <c r="F39" s="15"/>
      <c r="L39" s="80">
        <v>2025</v>
      </c>
      <c r="M39" s="80">
        <f>L39+1</f>
        <v>2026</v>
      </c>
      <c r="N39" s="80">
        <f t="shared" ref="N39:R39" si="0">M39+1</f>
        <v>2027</v>
      </c>
      <c r="O39" s="80">
        <f t="shared" si="0"/>
        <v>2028</v>
      </c>
      <c r="P39" s="80">
        <f t="shared" si="0"/>
        <v>2029</v>
      </c>
      <c r="Q39" s="80">
        <f t="shared" si="0"/>
        <v>2030</v>
      </c>
      <c r="R39" s="80">
        <f t="shared" si="0"/>
        <v>2031</v>
      </c>
    </row>
    <row r="40" spans="1:23" x14ac:dyDescent="0.3">
      <c r="B40" s="11" t="s">
        <v>46</v>
      </c>
      <c r="C40" s="15"/>
      <c r="D40" s="15"/>
      <c r="E40" s="15"/>
      <c r="F40" s="15"/>
    </row>
    <row r="41" spans="1:23" x14ac:dyDescent="0.3">
      <c r="B41" t="s">
        <v>18</v>
      </c>
      <c r="C41" s="15"/>
      <c r="D41" s="15"/>
      <c r="E41" s="15"/>
      <c r="F41" s="15"/>
      <c r="L41" s="107">
        <f>Model!J19</f>
        <v>223.7736662420532</v>
      </c>
      <c r="M41" s="107">
        <f>Model!K19</f>
        <v>249.20657956483035</v>
      </c>
      <c r="N41" s="107">
        <f>Model!L19</f>
        <v>272.35789003494574</v>
      </c>
      <c r="O41" s="107">
        <f>Model!M19</f>
        <v>299.37997603380779</v>
      </c>
      <c r="P41" s="107">
        <f>Model!N19</f>
        <v>328.52297118931517</v>
      </c>
      <c r="Q41" s="107">
        <f>Model!O19</f>
        <v>359.83743330859181</v>
      </c>
      <c r="R41" s="107">
        <f>Model!P19</f>
        <v>393.35905038784438</v>
      </c>
    </row>
    <row r="42" spans="1:23" x14ac:dyDescent="0.3">
      <c r="B42" t="s">
        <v>47</v>
      </c>
      <c r="C42" s="15"/>
      <c r="D42" s="15"/>
      <c r="E42" s="15"/>
      <c r="F42" s="15"/>
      <c r="L42" s="107">
        <f ca="1">-Model!J30</f>
        <v>30.827236865811759</v>
      </c>
      <c r="M42" s="107">
        <f ca="1">-Model!K30</f>
        <v>24.308449455363078</v>
      </c>
      <c r="N42" s="107">
        <f ca="1">-Model!L30</f>
        <v>24.395239796041174</v>
      </c>
      <c r="O42" s="107">
        <f ca="1">-Model!M30</f>
        <v>30.266156080881103</v>
      </c>
      <c r="P42" s="107">
        <f ca="1">-Model!N30</f>
        <v>37.029510567658214</v>
      </c>
      <c r="Q42" s="107">
        <f ca="1">-Model!O30</f>
        <v>45.543150576284212</v>
      </c>
      <c r="R42" s="107">
        <f ca="1">-Model!P30</f>
        <v>54.193956556259629</v>
      </c>
    </row>
    <row r="43" spans="1:23" x14ac:dyDescent="0.3">
      <c r="B43" t="s">
        <v>48</v>
      </c>
      <c r="C43" s="15"/>
      <c r="D43" s="15"/>
      <c r="E43" s="15"/>
      <c r="F43" s="15"/>
      <c r="L43" s="107">
        <f>Model!J221</f>
        <v>47.050000000000075</v>
      </c>
      <c r="M43" s="107">
        <f>Model!K221</f>
        <v>52.459996789828644</v>
      </c>
      <c r="N43" s="107">
        <f>Model!L221</f>
        <v>59.040888021288154</v>
      </c>
      <c r="O43" s="107">
        <f>Model!M221</f>
        <v>66.666128915173871</v>
      </c>
      <c r="P43" s="107">
        <f>Model!N221</f>
        <v>74.958742458651514</v>
      </c>
      <c r="Q43" s="107">
        <f>Model!O221</f>
        <v>83.942337769624473</v>
      </c>
      <c r="R43" s="107">
        <f>Model!P221</f>
        <v>93.636182117085667</v>
      </c>
    </row>
    <row r="44" spans="1:23" x14ac:dyDescent="0.3">
      <c r="B44" t="s">
        <v>49</v>
      </c>
      <c r="C44" s="15"/>
      <c r="D44" s="15"/>
      <c r="E44" s="15"/>
      <c r="F44" s="15"/>
      <c r="L44" s="146">
        <f>'Inputs and Drivers'!K108</f>
        <v>3.1568711047448003E-2</v>
      </c>
      <c r="M44" s="146">
        <f>'Inputs and Drivers'!L108</f>
        <v>3.3775917714114673E-2</v>
      </c>
      <c r="N44" s="146">
        <f>'Inputs and Drivers'!M108</f>
        <v>3.5983124380781342E-2</v>
      </c>
      <c r="O44" s="146">
        <f>'Inputs and Drivers'!N108</f>
        <v>3.8190331047448012E-2</v>
      </c>
      <c r="P44" s="146">
        <f>'Inputs and Drivers'!O108</f>
        <v>4.0397537714114681E-2</v>
      </c>
      <c r="Q44" s="146">
        <f>'Inputs and Drivers'!P108</f>
        <v>4.2604744380781351E-2</v>
      </c>
      <c r="R44" s="146">
        <f>'Inputs and Drivers'!Q108</f>
        <v>4.4811951047448007E-2</v>
      </c>
    </row>
    <row r="45" spans="1:23" x14ac:dyDescent="0.3">
      <c r="B45" t="s">
        <v>50</v>
      </c>
      <c r="C45" s="15"/>
      <c r="D45" s="15"/>
      <c r="E45" s="15"/>
      <c r="F45" s="15"/>
      <c r="L45" s="107">
        <f ca="1">-Model!J392</f>
        <v>27.692184949288517</v>
      </c>
      <c r="M45" s="107">
        <f ca="1">-Model!K392</f>
        <v>72.847382228457661</v>
      </c>
      <c r="N45" s="107">
        <f ca="1">-Model!L392</f>
        <v>91.733237789579547</v>
      </c>
      <c r="O45" s="107">
        <f ca="1">-Model!M392</f>
        <v>91.064285868854157</v>
      </c>
      <c r="P45" s="107">
        <f ca="1">-Model!N392</f>
        <v>88.730755905452341</v>
      </c>
      <c r="Q45" s="107">
        <f ca="1">-Model!O392</f>
        <v>81.153106145899002</v>
      </c>
      <c r="R45" s="107">
        <f ca="1">-Model!P392</f>
        <v>75.237676759856569</v>
      </c>
    </row>
    <row r="46" spans="1:23" x14ac:dyDescent="0.3">
      <c r="B46" t="s">
        <v>51</v>
      </c>
      <c r="C46" s="15"/>
      <c r="D46" s="15"/>
      <c r="E46" s="15"/>
      <c r="F46" s="15"/>
      <c r="L46" s="107">
        <f>-Model!J351</f>
        <v>0</v>
      </c>
      <c r="M46" s="107">
        <f>-Model!R351</f>
        <v>0</v>
      </c>
      <c r="N46" s="107">
        <f>-Model!L351</f>
        <v>6.84</v>
      </c>
      <c r="O46" s="107">
        <f ca="1">-Model!M351</f>
        <v>6.7715999999999994</v>
      </c>
      <c r="P46" s="107">
        <f ca="1">-Model!N351</f>
        <v>6.5410094568368349</v>
      </c>
      <c r="Q46" s="107">
        <f ca="1">-Model!O351</f>
        <v>5.9306630237578792</v>
      </c>
      <c r="R46" s="107">
        <f ca="1">-Model!P351</f>
        <v>5.2183077329417635</v>
      </c>
    </row>
    <row r="47" spans="1:23" x14ac:dyDescent="0.3">
      <c r="B47" t="s">
        <v>52</v>
      </c>
      <c r="C47" s="15"/>
      <c r="D47" s="15"/>
      <c r="E47" s="15"/>
      <c r="F47" s="15"/>
      <c r="L47" s="107">
        <f ca="1">-(IF(Model!J104&lt;0,Model!J104,0)+IF(Model!J105&lt;0,Model!J105,0)+IF(Model!J103&lt;0,Model!J103,0)+IF(Model!J98&lt;0,Model!J98,0))</f>
        <v>136.00233265726615</v>
      </c>
      <c r="M47" s="107">
        <f ca="1">-(IF(Model!K104&lt;0,Model!K104,0)+IF(Model!K105&lt;0,Model!K105,0)+IF(Model!K103&lt;0,Model!K103,0)+IF(Model!K98&lt;0,Model!K98,0))</f>
        <v>518.69766734273378</v>
      </c>
      <c r="N47" s="107">
        <f ca="1">-(IF(Model!L104&lt;0,Model!L104,0)+IF(Model!L105&lt;0,Model!L105,0)+IF(Model!L103&lt;0,Model!L103,0)+IF(Model!L98&lt;0,Model!L98,0))</f>
        <v>87.779675954020234</v>
      </c>
      <c r="O47" s="107">
        <f ca="1">-(IF(Model!M104&lt;0,Model!M104,0)+IF(Model!M105&lt;0,Model!M105,0)+IF(Model!M103&lt;0,Model!M103,0)+IF(Model!M98&lt;0,Model!M98,0))</f>
        <v>99.526405211700137</v>
      </c>
      <c r="P47" s="107">
        <f ca="1">-(IF(Model!N104&lt;0,Model!N104,0)+IF(Model!N105&lt;0,Model!N105,0)+IF(Model!N103&lt;0,Model!N103,0)+IF(Model!N98&lt;0,Model!N98,0))</f>
        <v>115.52827715895413</v>
      </c>
      <c r="Q47" s="107">
        <f ca="1">-(IF(Model!O104&lt;0,Model!O104,0)+IF(Model!O105&lt;0,Model!O105,0)+IF(Model!O103&lt;0,Model!O103,0)+IF(Model!O98&lt;0,Model!O98,0))</f>
        <v>136.54039513946532</v>
      </c>
      <c r="R47" s="107">
        <f ca="1">-(IF(Model!P104&lt;0,Model!P104,0)+IF(Model!P105&lt;0,Model!P105,0)+IF(Model!P103&lt;0,Model!P103,0)+IF(Model!P98&lt;0,Model!P98,0))</f>
        <v>157.2685877147191</v>
      </c>
    </row>
    <row r="48" spans="1:23" x14ac:dyDescent="0.3">
      <c r="B48" t="s">
        <v>32</v>
      </c>
      <c r="C48" s="15"/>
      <c r="D48" s="15"/>
      <c r="E48" s="15"/>
      <c r="F48" s="15"/>
      <c r="L48" s="107">
        <f ca="1">Model!J381+Model!J390</f>
        <v>518.69766734273378</v>
      </c>
      <c r="M48" s="107">
        <f ca="1">Model!K410</f>
        <v>1683.1195725330872</v>
      </c>
      <c r="N48" s="107">
        <f ca="1">Model!L410</f>
        <v>1595.339896579067</v>
      </c>
      <c r="O48" s="107">
        <f ca="1">Model!M410</f>
        <v>1495.8134913673666</v>
      </c>
      <c r="P48" s="107">
        <f ca="1">Model!N410</f>
        <v>1380.285214208413</v>
      </c>
      <c r="Q48" s="107">
        <f ca="1">Model!O410</f>
        <v>1243.7448190689474</v>
      </c>
      <c r="R48" s="107">
        <f ca="1">Model!P410</f>
        <v>1086.4762313542283</v>
      </c>
    </row>
    <row r="49" spans="2:18" x14ac:dyDescent="0.3">
      <c r="B49" t="s">
        <v>13</v>
      </c>
      <c r="C49" s="15"/>
      <c r="D49" s="15"/>
      <c r="E49" s="15"/>
      <c r="F49" s="15"/>
      <c r="L49" s="107">
        <f ca="1">Model!J116</f>
        <v>32.219122063217029</v>
      </c>
      <c r="M49" s="107">
        <f ca="1">Model!K116</f>
        <v>32.833877599257235</v>
      </c>
      <c r="N49" s="107">
        <f ca="1">Model!L116</f>
        <v>33.901832040124006</v>
      </c>
      <c r="O49" s="107">
        <f ca="1">Model!M116</f>
        <v>35.233565576390717</v>
      </c>
      <c r="P49" s="107">
        <f ca="1">Model!N116</f>
        <v>36.564883803777107</v>
      </c>
      <c r="Q49" s="107">
        <f ca="1">Model!O116</f>
        <v>37.884045519729952</v>
      </c>
      <c r="R49" s="107">
        <f ca="1">Model!P116</f>
        <v>39.178798817226252</v>
      </c>
    </row>
    <row r="50" spans="2:18" x14ac:dyDescent="0.3">
      <c r="B50" t="s">
        <v>53</v>
      </c>
      <c r="C50" s="15"/>
      <c r="D50" s="15"/>
      <c r="E50" s="15"/>
      <c r="F50" s="15"/>
      <c r="L50" s="107">
        <f ca="1">L48-L49</f>
        <v>486.47854527951677</v>
      </c>
      <c r="M50" s="107">
        <f t="shared" ref="M50:R50" ca="1" si="1">M48-M49</f>
        <v>1650.28569493383</v>
      </c>
      <c r="N50" s="107">
        <f t="shared" ca="1" si="1"/>
        <v>1561.4380645389431</v>
      </c>
      <c r="O50" s="107">
        <f t="shared" ca="1" si="1"/>
        <v>1460.5799257909759</v>
      </c>
      <c r="P50" s="107">
        <f t="shared" ca="1" si="1"/>
        <v>1343.7203304046359</v>
      </c>
      <c r="Q50" s="107">
        <f t="shared" ca="1" si="1"/>
        <v>1205.8607735492176</v>
      </c>
      <c r="R50" s="107">
        <f t="shared" ca="1" si="1"/>
        <v>1047.2974325370021</v>
      </c>
    </row>
    <row r="51" spans="2:18" x14ac:dyDescent="0.3">
      <c r="B51" t="s">
        <v>54</v>
      </c>
      <c r="C51" s="15"/>
      <c r="D51" s="15"/>
      <c r="E51" s="15"/>
      <c r="F51" s="15"/>
      <c r="L51" s="269">
        <f>L41/Model!J13</f>
        <v>0.15014338383896783</v>
      </c>
      <c r="M51" s="269">
        <f>M41/Model!K13</f>
        <v>0.16044951277674629</v>
      </c>
      <c r="N51" s="269">
        <f>N41/Model!L13</f>
        <v>0.16599153843487188</v>
      </c>
      <c r="O51" s="269">
        <f>O41/Model!M13</f>
        <v>0.17150268929303034</v>
      </c>
      <c r="P51" s="269">
        <f>P41/Model!N13</f>
        <v>0.17705098409160425</v>
      </c>
      <c r="Q51" s="269">
        <f>Q41/Model!O13</f>
        <v>0.18263467842441522</v>
      </c>
      <c r="R51" s="269">
        <f>R41/Model!P13</f>
        <v>0.18825187135469831</v>
      </c>
    </row>
    <row r="52" spans="2:18" x14ac:dyDescent="0.3">
      <c r="C52" s="15"/>
      <c r="D52" s="15"/>
      <c r="E52" s="15"/>
      <c r="F52" s="15"/>
    </row>
    <row r="53" spans="2:18" x14ac:dyDescent="0.3">
      <c r="B53" s="11" t="s">
        <v>55</v>
      </c>
      <c r="C53" s="15"/>
      <c r="D53" s="15"/>
      <c r="E53" s="15"/>
      <c r="F53" s="15"/>
      <c r="L53" s="273">
        <f t="shared" ref="L53:R53" ca="1" si="2">L48/L41</f>
        <v>2.3179566928204367</v>
      </c>
      <c r="M53" s="273">
        <f t="shared" ca="1" si="2"/>
        <v>6.753913060691195</v>
      </c>
      <c r="N53" s="273">
        <f t="shared" ca="1" si="2"/>
        <v>5.8575130552464332</v>
      </c>
      <c r="O53" s="273">
        <f t="shared" ca="1" si="2"/>
        <v>4.9963712041931965</v>
      </c>
      <c r="P53" s="273">
        <f t="shared" ca="1" si="2"/>
        <v>4.2014876743976837</v>
      </c>
      <c r="Q53" s="273">
        <f t="shared" ca="1" si="2"/>
        <v>3.4564075439097754</v>
      </c>
      <c r="R53" s="273">
        <f t="shared" ca="1" si="2"/>
        <v>2.7620471177235757</v>
      </c>
    </row>
    <row r="54" spans="2:18" x14ac:dyDescent="0.3">
      <c r="B54" s="11" t="s">
        <v>56</v>
      </c>
      <c r="C54" s="15"/>
      <c r="D54" s="15"/>
      <c r="E54" s="15"/>
      <c r="F54" s="15"/>
      <c r="L54" s="273">
        <f t="shared" ref="L54:R54" ca="1" si="3">(L41-L42-L43)/(L47+L45)</f>
        <v>0.89127254540624512</v>
      </c>
      <c r="M54" s="273">
        <f t="shared" ca="1" si="3"/>
        <v>0.29150465115824797</v>
      </c>
      <c r="N54" s="273">
        <f ca="1">(N41-N42-N43)/(N47+N45)</f>
        <v>1.052413212385686</v>
      </c>
      <c r="O54" s="273">
        <f ca="1">(O41-O42-O43)/(O47+O45)</f>
        <v>1.0622118524780788</v>
      </c>
      <c r="P54" s="273">
        <f t="shared" ca="1" si="3"/>
        <v>1.0600986155394567</v>
      </c>
      <c r="Q54" s="273">
        <f t="shared" ca="1" si="3"/>
        <v>1.058148009024511</v>
      </c>
      <c r="R54" s="273">
        <f t="shared" ca="1" si="3"/>
        <v>1.05600987684935</v>
      </c>
    </row>
    <row r="55" spans="2:18" x14ac:dyDescent="0.3">
      <c r="B55" s="11"/>
      <c r="C55" s="15"/>
      <c r="D55" s="15"/>
      <c r="E55" s="15"/>
      <c r="F55" s="15"/>
    </row>
    <row r="56" spans="2:18" x14ac:dyDescent="0.3">
      <c r="B56" s="11"/>
      <c r="C56" s="15"/>
      <c r="D56" s="15"/>
      <c r="E56" s="15"/>
      <c r="F56" s="15"/>
    </row>
    <row r="57" spans="2:18" x14ac:dyDescent="0.3">
      <c r="B57" s="11"/>
      <c r="C57" s="15"/>
      <c r="D57" s="15"/>
      <c r="E57" s="15"/>
      <c r="F57" s="15"/>
    </row>
    <row r="58" spans="2:18" ht="18" x14ac:dyDescent="0.35">
      <c r="B58" s="11"/>
      <c r="C58" s="15"/>
      <c r="D58" s="15"/>
      <c r="E58" s="274" t="s">
        <v>57</v>
      </c>
      <c r="F58" s="275"/>
      <c r="G58" s="275"/>
      <c r="H58" s="275"/>
      <c r="I58" s="275"/>
      <c r="L58" s="215"/>
      <c r="M58" s="274" t="s">
        <v>58</v>
      </c>
      <c r="N58" s="276"/>
      <c r="O58" s="276"/>
      <c r="P58" s="276"/>
      <c r="Q58" s="277"/>
      <c r="R58" s="271"/>
    </row>
    <row r="59" spans="2:18" x14ac:dyDescent="0.3">
      <c r="B59" s="11"/>
      <c r="C59" s="15"/>
      <c r="D59" s="15"/>
      <c r="E59" s="15"/>
      <c r="F59" s="15"/>
    </row>
    <row r="60" spans="2:18" x14ac:dyDescent="0.3">
      <c r="B60" s="11"/>
      <c r="C60" s="15"/>
      <c r="D60" s="15"/>
      <c r="E60" s="15"/>
      <c r="F60" s="15"/>
    </row>
    <row r="61" spans="2:18" x14ac:dyDescent="0.3">
      <c r="B61" s="11"/>
      <c r="C61" s="15"/>
      <c r="D61" s="15"/>
      <c r="E61" s="15"/>
      <c r="F61" s="15"/>
    </row>
    <row r="62" spans="2:18" x14ac:dyDescent="0.3">
      <c r="B62" s="11"/>
      <c r="C62" s="15"/>
      <c r="D62" s="15"/>
      <c r="E62" s="15"/>
      <c r="F62" s="15"/>
    </row>
    <row r="63" spans="2:18" x14ac:dyDescent="0.3">
      <c r="B63" s="11"/>
      <c r="C63" s="15"/>
      <c r="D63" s="15"/>
      <c r="E63" s="15"/>
      <c r="F63" s="15"/>
    </row>
    <row r="64" spans="2:18" x14ac:dyDescent="0.3">
      <c r="B64" s="11"/>
      <c r="C64" s="15"/>
      <c r="D64" s="15"/>
      <c r="E64" s="15"/>
      <c r="F64" s="15"/>
    </row>
    <row r="65" spans="2:6" x14ac:dyDescent="0.3">
      <c r="B65" s="11"/>
      <c r="C65" s="15"/>
      <c r="D65" s="15"/>
      <c r="E65" s="15"/>
      <c r="F65" s="15"/>
    </row>
    <row r="66" spans="2:6" x14ac:dyDescent="0.3">
      <c r="B66" s="11"/>
      <c r="C66" s="15"/>
      <c r="D66" s="15"/>
      <c r="E66" s="15"/>
      <c r="F66" s="15"/>
    </row>
    <row r="67" spans="2:6" x14ac:dyDescent="0.3">
      <c r="B67" s="11"/>
      <c r="C67" s="15"/>
      <c r="D67" s="15"/>
      <c r="E67" s="15"/>
      <c r="F67" s="15"/>
    </row>
    <row r="68" spans="2:6" x14ac:dyDescent="0.3">
      <c r="B68" s="11"/>
      <c r="C68" s="15"/>
      <c r="D68" s="15"/>
      <c r="E68" s="15"/>
      <c r="F68" s="15"/>
    </row>
    <row r="69" spans="2:6" x14ac:dyDescent="0.3">
      <c r="B69" s="11"/>
      <c r="C69" s="15"/>
      <c r="D69" s="15"/>
      <c r="E69" s="15"/>
      <c r="F69" s="15"/>
    </row>
    <row r="70" spans="2:6" x14ac:dyDescent="0.3">
      <c r="B70" s="15"/>
      <c r="C70" s="15"/>
      <c r="D70" s="15"/>
      <c r="E70" s="15"/>
      <c r="F70" s="15"/>
    </row>
    <row r="71" spans="2:6" x14ac:dyDescent="0.3">
      <c r="B71" s="15"/>
      <c r="C71" s="15"/>
      <c r="D71" s="15"/>
      <c r="E71" s="15"/>
      <c r="F71" s="15"/>
    </row>
    <row r="72" spans="2:6" x14ac:dyDescent="0.3">
      <c r="B72" s="15"/>
      <c r="C72" s="15"/>
      <c r="D72" s="15"/>
      <c r="E72" s="15"/>
      <c r="F72" s="15"/>
    </row>
    <row r="73" spans="2:6" x14ac:dyDescent="0.3">
      <c r="B73" s="15"/>
      <c r="C73" s="15"/>
      <c r="D73" s="15"/>
      <c r="E73" s="15"/>
      <c r="F73" s="15"/>
    </row>
    <row r="74" spans="2:6" x14ac:dyDescent="0.3">
      <c r="B74" s="15"/>
      <c r="C74" s="15"/>
      <c r="D74" s="15"/>
      <c r="E74" s="15"/>
      <c r="F74" s="15"/>
    </row>
    <row r="75" spans="2:6" x14ac:dyDescent="0.3">
      <c r="B75" s="15"/>
      <c r="C75" s="15"/>
      <c r="D75" s="15"/>
      <c r="E75" s="15"/>
      <c r="F75" s="15"/>
    </row>
    <row r="76" spans="2:6" x14ac:dyDescent="0.3">
      <c r="B76" s="15"/>
      <c r="C76" s="15"/>
      <c r="D76" s="15"/>
      <c r="E76" s="15"/>
      <c r="F76" s="15"/>
    </row>
    <row r="77" spans="2:6" x14ac:dyDescent="0.3">
      <c r="B77" s="15"/>
      <c r="C77" s="15"/>
      <c r="D77" s="15"/>
      <c r="E77" s="15"/>
      <c r="F77" s="15"/>
    </row>
    <row r="78" spans="2:6" x14ac:dyDescent="0.3">
      <c r="B78" s="15"/>
      <c r="C78" s="15"/>
      <c r="D78" s="15"/>
      <c r="E78" s="15"/>
      <c r="F78" s="15"/>
    </row>
    <row r="79" spans="2:6" x14ac:dyDescent="0.3">
      <c r="B79" s="15"/>
      <c r="C79" s="15"/>
      <c r="D79" s="15"/>
      <c r="E79" s="15"/>
      <c r="F79" s="15"/>
    </row>
    <row r="80" spans="2:6" x14ac:dyDescent="0.3">
      <c r="B80" s="15"/>
      <c r="C80" s="15"/>
      <c r="D80" s="15"/>
      <c r="E80" s="15"/>
      <c r="F80" s="15"/>
    </row>
    <row r="81" spans="1:23" x14ac:dyDescent="0.3">
      <c r="B81" s="15"/>
      <c r="C81" s="15"/>
      <c r="D81" s="15"/>
      <c r="E81" s="15"/>
      <c r="F81" s="15"/>
    </row>
    <row r="82" spans="1:23" x14ac:dyDescent="0.3">
      <c r="B82" s="15"/>
      <c r="C82" s="15"/>
      <c r="D82" s="15"/>
      <c r="E82" s="15"/>
      <c r="F82" s="15"/>
    </row>
    <row r="83" spans="1:23" ht="21" x14ac:dyDescent="0.4">
      <c r="A83" s="388" t="s">
        <v>3</v>
      </c>
      <c r="B83" s="9" t="s">
        <v>59</v>
      </c>
      <c r="C83" s="9"/>
      <c r="D83" s="9"/>
      <c r="E83" s="9"/>
      <c r="F83" s="9"/>
      <c r="G83" s="9"/>
      <c r="H83" s="9"/>
      <c r="I83" s="9"/>
      <c r="J83" s="9"/>
      <c r="K83" s="9"/>
      <c r="L83" s="9"/>
      <c r="M83" s="9"/>
      <c r="N83" s="9"/>
      <c r="O83" s="9"/>
      <c r="P83" s="9"/>
      <c r="Q83" s="9"/>
      <c r="R83" s="9"/>
      <c r="S83" s="9"/>
      <c r="T83" s="9"/>
      <c r="U83" s="9"/>
      <c r="V83" s="9"/>
      <c r="W83" s="9"/>
    </row>
    <row r="84" spans="1:23" x14ac:dyDescent="0.3">
      <c r="B84" s="15"/>
      <c r="C84" s="15"/>
      <c r="D84" s="15"/>
      <c r="E84" s="15"/>
      <c r="F84" s="15"/>
    </row>
    <row r="85" spans="1:23" ht="18" x14ac:dyDescent="0.35">
      <c r="B85" s="15"/>
      <c r="C85" s="274" t="s">
        <v>60</v>
      </c>
      <c r="D85" s="274"/>
      <c r="E85" s="274"/>
      <c r="F85" s="274"/>
      <c r="G85" s="274"/>
      <c r="L85" s="297" t="s">
        <v>61</v>
      </c>
      <c r="M85" s="297"/>
      <c r="N85" s="297"/>
      <c r="O85" s="297"/>
      <c r="P85" s="297"/>
      <c r="Q85" s="271"/>
      <c r="R85" s="271"/>
      <c r="S85" s="271"/>
      <c r="T85" s="271"/>
    </row>
    <row r="86" spans="1:23" x14ac:dyDescent="0.3">
      <c r="B86" s="15"/>
      <c r="C86" s="15"/>
      <c r="D86" s="15"/>
      <c r="E86" s="15"/>
      <c r="F86" s="15"/>
    </row>
    <row r="87" spans="1:23" x14ac:dyDescent="0.3">
      <c r="B87" s="279">
        <v>2</v>
      </c>
      <c r="C87" s="15"/>
      <c r="D87" s="278" t="s">
        <v>62</v>
      </c>
      <c r="E87" s="278" t="s">
        <v>63</v>
      </c>
      <c r="F87" s="278" t="s">
        <v>64</v>
      </c>
    </row>
    <row r="88" spans="1:23" x14ac:dyDescent="0.3">
      <c r="B88" s="15"/>
      <c r="C88" s="15"/>
      <c r="E88" s="286">
        <f ca="1">Model!C421</f>
        <v>0.15088873505592348</v>
      </c>
      <c r="F88" s="287">
        <f ca="1">Model!D421</f>
        <v>2.2455251669970728</v>
      </c>
    </row>
    <row r="89" spans="1:23" x14ac:dyDescent="0.3">
      <c r="B89" s="15"/>
      <c r="C89" s="15"/>
      <c r="D89" s="386">
        <f>D90+$B$87</f>
        <v>23.996022008001116</v>
      </c>
      <c r="E89" s="294">
        <f t="dataTable" ref="E89:F93" dt2D="0" dtr="0" r1="D255" ca="1"/>
        <v>0.19316151738166809</v>
      </c>
      <c r="F89" s="288">
        <v>2.763716042919024</v>
      </c>
    </row>
    <row r="90" spans="1:23" x14ac:dyDescent="0.3">
      <c r="B90" s="15"/>
      <c r="C90" s="15"/>
      <c r="D90" s="289">
        <f>D91+$B$87</f>
        <v>21.996022008001116</v>
      </c>
      <c r="E90" s="295">
        <v>0.17293018698692322</v>
      </c>
      <c r="F90" s="290">
        <v>2.5046206049580482</v>
      </c>
    </row>
    <row r="91" spans="1:23" x14ac:dyDescent="0.3">
      <c r="B91" s="15"/>
      <c r="C91" s="15"/>
      <c r="D91" s="291">
        <f>'Transaction Details'!C9</f>
        <v>19.996022008001116</v>
      </c>
      <c r="E91" s="295">
        <v>0.15088873505592348</v>
      </c>
      <c r="F91" s="290">
        <v>2.2455251669970728</v>
      </c>
    </row>
    <row r="92" spans="1:23" x14ac:dyDescent="0.3">
      <c r="B92" s="15"/>
      <c r="C92" s="15"/>
      <c r="D92" s="289">
        <f>D91-$B$87</f>
        <v>17.996022008001116</v>
      </c>
      <c r="E92" s="295">
        <v>0.12663516402244565</v>
      </c>
      <c r="F92" s="290">
        <v>1.9864297290360973</v>
      </c>
    </row>
    <row r="93" spans="1:23" x14ac:dyDescent="0.3">
      <c r="B93" s="15"/>
      <c r="C93" s="15"/>
      <c r="D93" s="292">
        <f>D92-$B$87</f>
        <v>15.996022008001116</v>
      </c>
      <c r="E93" s="296">
        <v>9.9609893560409557E-2</v>
      </c>
      <c r="F93" s="293">
        <v>1.7273342910751219</v>
      </c>
    </row>
    <row r="94" spans="1:23" x14ac:dyDescent="0.3">
      <c r="B94" s="15"/>
      <c r="C94" s="15"/>
      <c r="D94" s="15"/>
      <c r="E94" s="15"/>
      <c r="F94" s="15"/>
    </row>
    <row r="95" spans="1:23" x14ac:dyDescent="0.3">
      <c r="B95" s="15"/>
      <c r="C95" s="15"/>
      <c r="D95" s="15"/>
      <c r="E95" s="15"/>
      <c r="F95" s="15"/>
    </row>
    <row r="96" spans="1:23" x14ac:dyDescent="0.3">
      <c r="B96" s="15"/>
      <c r="C96" s="15"/>
      <c r="D96" s="15"/>
      <c r="E96" s="15"/>
      <c r="F96" s="15"/>
    </row>
    <row r="97" spans="1:23" x14ac:dyDescent="0.3">
      <c r="B97" s="15"/>
      <c r="C97" s="15"/>
      <c r="D97" s="15"/>
      <c r="E97" s="15"/>
      <c r="F97" s="15"/>
      <c r="G97" s="15"/>
    </row>
    <row r="98" spans="1:23" x14ac:dyDescent="0.3">
      <c r="B98" s="15"/>
      <c r="C98" s="15"/>
      <c r="D98" s="15"/>
      <c r="E98" s="15"/>
      <c r="F98" s="15"/>
      <c r="G98" s="15"/>
    </row>
    <row r="99" spans="1:23" x14ac:dyDescent="0.3">
      <c r="B99" s="15"/>
      <c r="C99" s="15"/>
      <c r="D99" s="15"/>
      <c r="E99" s="15"/>
      <c r="F99" s="15"/>
      <c r="G99" s="15"/>
    </row>
    <row r="100" spans="1:23" x14ac:dyDescent="0.3">
      <c r="B100" s="15"/>
      <c r="C100" s="15"/>
      <c r="D100" s="15"/>
      <c r="E100" s="15"/>
      <c r="F100" s="15"/>
      <c r="G100" s="15"/>
    </row>
    <row r="101" spans="1:23" x14ac:dyDescent="0.3">
      <c r="B101" s="15"/>
      <c r="C101" s="15"/>
      <c r="D101" s="15"/>
      <c r="E101" s="15"/>
      <c r="F101" s="15"/>
      <c r="G101" s="15"/>
    </row>
    <row r="102" spans="1:23" x14ac:dyDescent="0.3">
      <c r="B102" s="15"/>
      <c r="C102" s="15"/>
      <c r="D102" s="15"/>
      <c r="E102" s="15"/>
      <c r="F102" s="15"/>
      <c r="G102" s="15"/>
    </row>
    <row r="103" spans="1:23" x14ac:dyDescent="0.3">
      <c r="B103" s="15"/>
      <c r="C103" s="15"/>
      <c r="D103" s="15"/>
      <c r="E103" s="15"/>
      <c r="F103" s="15"/>
      <c r="G103" s="15"/>
    </row>
    <row r="104" spans="1:23" x14ac:dyDescent="0.3">
      <c r="B104" s="15"/>
      <c r="C104" s="15"/>
      <c r="D104" s="15"/>
      <c r="E104" s="15"/>
      <c r="F104" s="15"/>
      <c r="G104" s="15"/>
    </row>
    <row r="105" spans="1:23" x14ac:dyDescent="0.3">
      <c r="B105" s="15"/>
      <c r="C105" s="15"/>
      <c r="D105" s="15"/>
      <c r="E105" s="15"/>
      <c r="F105" s="15"/>
      <c r="G105" s="15"/>
    </row>
    <row r="106" spans="1:23" x14ac:dyDescent="0.3">
      <c r="B106" s="15"/>
      <c r="C106" s="15"/>
      <c r="D106" s="15"/>
      <c r="E106" s="15"/>
      <c r="F106" s="15"/>
      <c r="G106" s="15"/>
    </row>
    <row r="107" spans="1:23" x14ac:dyDescent="0.3">
      <c r="B107" s="15"/>
      <c r="C107" s="15"/>
      <c r="D107" s="15"/>
      <c r="E107" s="15"/>
      <c r="F107" s="15"/>
      <c r="G107" s="15"/>
    </row>
    <row r="108" spans="1:23" x14ac:dyDescent="0.3">
      <c r="B108" s="15"/>
      <c r="C108" s="15"/>
      <c r="D108" s="15"/>
      <c r="E108" s="15"/>
      <c r="F108" s="15"/>
      <c r="G108" s="15"/>
    </row>
    <row r="109" spans="1:23" x14ac:dyDescent="0.3">
      <c r="B109" s="15"/>
      <c r="C109" s="15"/>
      <c r="D109" s="15"/>
      <c r="E109" s="15"/>
      <c r="F109" s="15"/>
    </row>
    <row r="110" spans="1:23" x14ac:dyDescent="0.3">
      <c r="B110" s="15"/>
      <c r="C110" s="15"/>
      <c r="D110" s="15"/>
      <c r="E110" s="15"/>
      <c r="F110" s="15"/>
    </row>
    <row r="111" spans="1:23" ht="21" x14ac:dyDescent="0.4">
      <c r="A111" s="388" t="s">
        <v>3</v>
      </c>
      <c r="B111" s="9" t="s">
        <v>65</v>
      </c>
      <c r="C111" s="9"/>
      <c r="D111" s="9"/>
      <c r="E111" s="9"/>
      <c r="F111" s="9"/>
      <c r="G111" s="9"/>
      <c r="H111" s="9"/>
      <c r="I111" s="9"/>
      <c r="J111" s="9"/>
      <c r="K111" s="9"/>
      <c r="L111" s="9"/>
      <c r="M111" s="9"/>
      <c r="N111" s="9"/>
      <c r="O111" s="9"/>
      <c r="P111" s="9"/>
      <c r="Q111" s="9"/>
      <c r="R111" s="9"/>
      <c r="S111" s="9"/>
      <c r="T111" s="9"/>
      <c r="U111" s="9"/>
      <c r="V111" s="9"/>
      <c r="W111" s="9"/>
    </row>
    <row r="112" spans="1:23" x14ac:dyDescent="0.3">
      <c r="B112" s="15"/>
      <c r="C112" s="15"/>
      <c r="D112" s="15"/>
      <c r="E112" s="15"/>
      <c r="F112" s="15"/>
    </row>
    <row r="113" spans="2:21" ht="18" x14ac:dyDescent="0.35">
      <c r="B113" s="15"/>
      <c r="C113" s="297" t="s">
        <v>35</v>
      </c>
      <c r="D113" s="271"/>
      <c r="E113" s="271"/>
      <c r="F113" s="297"/>
      <c r="G113" s="297"/>
      <c r="H113" s="297"/>
      <c r="I113" s="297"/>
      <c r="J113" s="271"/>
      <c r="L113" s="297" t="s">
        <v>66</v>
      </c>
      <c r="M113" s="271"/>
      <c r="N113" s="271"/>
      <c r="O113" s="297"/>
      <c r="P113" s="297"/>
      <c r="Q113" s="297"/>
      <c r="R113" s="297"/>
      <c r="S113" s="271"/>
      <c r="T113" s="271"/>
    </row>
    <row r="114" spans="2:21" x14ac:dyDescent="0.3">
      <c r="B114" s="15"/>
      <c r="C114" s="15"/>
      <c r="D114" s="15"/>
      <c r="E114" s="15"/>
      <c r="F114" s="15"/>
    </row>
    <row r="115" spans="2:21" x14ac:dyDescent="0.3">
      <c r="B115" s="15"/>
      <c r="C115" s="15"/>
      <c r="D115" s="15"/>
      <c r="E115" s="15"/>
      <c r="F115" s="15"/>
    </row>
    <row r="116" spans="2:21" x14ac:dyDescent="0.3">
      <c r="B116" s="15"/>
      <c r="C116" s="15"/>
      <c r="D116" s="15"/>
      <c r="E116" s="15"/>
      <c r="F116" s="15"/>
    </row>
    <row r="117" spans="2:21" x14ac:dyDescent="0.3">
      <c r="B117" s="15"/>
      <c r="C117" s="15"/>
      <c r="D117" s="15"/>
      <c r="E117" s="15"/>
      <c r="F117" s="15"/>
      <c r="U117" s="196" t="s">
        <v>67</v>
      </c>
    </row>
    <row r="118" spans="2:21" x14ac:dyDescent="0.3">
      <c r="B118" s="15"/>
      <c r="C118" s="15"/>
      <c r="D118" s="15"/>
      <c r="E118" s="15"/>
      <c r="F118" s="15"/>
      <c r="U118" s="196" t="s">
        <v>68</v>
      </c>
    </row>
    <row r="119" spans="2:21" x14ac:dyDescent="0.3">
      <c r="B119" s="15"/>
      <c r="C119" s="15"/>
      <c r="D119" s="15"/>
      <c r="E119" s="15"/>
      <c r="F119" s="15"/>
      <c r="U119" s="298">
        <f>_xlfn.RRI(6,Model!J13,Model!P13)</f>
        <v>5.793222109433116E-2</v>
      </c>
    </row>
    <row r="120" spans="2:21" x14ac:dyDescent="0.3">
      <c r="B120" s="15"/>
      <c r="C120" s="15"/>
      <c r="D120" s="15"/>
      <c r="E120" s="15"/>
      <c r="F120" s="15"/>
    </row>
    <row r="121" spans="2:21" x14ac:dyDescent="0.3">
      <c r="B121" s="15"/>
      <c r="C121" s="15"/>
      <c r="D121" s="15"/>
      <c r="E121" s="15"/>
      <c r="F121" s="15"/>
    </row>
    <row r="122" spans="2:21" x14ac:dyDescent="0.3">
      <c r="B122" s="15"/>
      <c r="C122" s="15"/>
      <c r="D122" s="15"/>
      <c r="E122" s="15"/>
      <c r="F122" s="15"/>
    </row>
    <row r="123" spans="2:21" x14ac:dyDescent="0.3">
      <c r="B123" s="15"/>
      <c r="C123" s="15"/>
      <c r="D123" s="15"/>
      <c r="E123" s="15"/>
      <c r="F123" s="15"/>
    </row>
    <row r="124" spans="2:21" x14ac:dyDescent="0.3">
      <c r="B124" s="15"/>
      <c r="C124" s="15"/>
      <c r="D124" s="15"/>
      <c r="E124" s="15"/>
      <c r="F124" s="15"/>
    </row>
    <row r="125" spans="2:21" x14ac:dyDescent="0.3">
      <c r="B125" s="15"/>
      <c r="C125" s="15"/>
      <c r="D125" s="15"/>
      <c r="E125" s="15"/>
      <c r="F125" s="15"/>
    </row>
    <row r="126" spans="2:21" x14ac:dyDescent="0.3">
      <c r="B126" s="15"/>
      <c r="C126" s="15"/>
      <c r="D126" s="15"/>
      <c r="E126" s="15"/>
      <c r="F126" s="15"/>
    </row>
    <row r="127" spans="2:21" x14ac:dyDescent="0.3">
      <c r="B127" s="15"/>
      <c r="C127" s="15"/>
      <c r="D127" s="15"/>
      <c r="E127" s="15"/>
      <c r="F127" s="15"/>
    </row>
    <row r="128" spans="2:21" x14ac:dyDescent="0.3">
      <c r="B128" s="15"/>
      <c r="C128" s="15"/>
      <c r="D128" s="15"/>
      <c r="E128" s="15"/>
      <c r="F128" s="15"/>
    </row>
    <row r="129" spans="2:20" x14ac:dyDescent="0.3">
      <c r="B129" s="15"/>
      <c r="C129" s="15"/>
      <c r="D129" s="15"/>
      <c r="E129" s="15"/>
      <c r="F129" s="15"/>
    </row>
    <row r="130" spans="2:20" x14ac:dyDescent="0.3">
      <c r="B130" s="15"/>
      <c r="C130" s="15"/>
      <c r="D130" s="15"/>
      <c r="E130" s="15"/>
      <c r="F130" s="15"/>
    </row>
    <row r="131" spans="2:20" x14ac:dyDescent="0.3">
      <c r="B131" s="15"/>
      <c r="C131" s="15"/>
      <c r="D131" s="15"/>
      <c r="E131" s="15"/>
      <c r="F131" s="15"/>
    </row>
    <row r="132" spans="2:20" x14ac:dyDescent="0.3">
      <c r="B132" s="15"/>
      <c r="C132" s="15"/>
      <c r="D132" s="15"/>
      <c r="E132" s="15"/>
      <c r="F132" s="15"/>
    </row>
    <row r="133" spans="2:20" x14ac:dyDescent="0.3">
      <c r="B133" s="15"/>
      <c r="C133" s="15"/>
      <c r="D133" s="15"/>
      <c r="E133" s="15"/>
      <c r="F133" s="15"/>
    </row>
    <row r="134" spans="2:20" x14ac:dyDescent="0.3">
      <c r="B134" s="15"/>
      <c r="C134" s="15"/>
      <c r="D134" s="15"/>
      <c r="E134" s="15"/>
      <c r="F134" s="15"/>
    </row>
    <row r="135" spans="2:20" x14ac:dyDescent="0.3">
      <c r="B135" s="15"/>
      <c r="C135" s="15"/>
      <c r="D135" s="15"/>
      <c r="E135" s="15"/>
      <c r="F135" s="15"/>
    </row>
    <row r="136" spans="2:20" x14ac:dyDescent="0.3">
      <c r="B136" s="15"/>
      <c r="C136" s="15"/>
      <c r="D136" s="15"/>
      <c r="E136" s="15"/>
      <c r="F136" s="15"/>
    </row>
    <row r="137" spans="2:20" x14ac:dyDescent="0.3">
      <c r="B137" s="15"/>
      <c r="C137" s="15"/>
      <c r="D137" s="15"/>
      <c r="E137" s="15"/>
      <c r="F137" s="15"/>
    </row>
    <row r="138" spans="2:20" x14ac:dyDescent="0.3">
      <c r="B138" s="15"/>
      <c r="C138" s="15"/>
      <c r="D138" s="15"/>
      <c r="E138" s="15"/>
      <c r="F138" s="15"/>
    </row>
    <row r="139" spans="2:20" x14ac:dyDescent="0.3">
      <c r="B139" s="15"/>
      <c r="C139" s="15"/>
      <c r="D139" s="15"/>
      <c r="E139" s="15"/>
      <c r="F139" s="15"/>
    </row>
    <row r="140" spans="2:20" ht="18" x14ac:dyDescent="0.35">
      <c r="B140" s="15"/>
      <c r="C140" s="297" t="s">
        <v>69</v>
      </c>
      <c r="D140" s="271"/>
      <c r="E140" s="271"/>
      <c r="F140" s="297"/>
      <c r="G140" s="297"/>
      <c r="H140" s="297"/>
      <c r="I140" s="297"/>
      <c r="L140" s="297" t="s">
        <v>70</v>
      </c>
      <c r="M140" s="271"/>
      <c r="N140" s="271"/>
      <c r="O140" s="297"/>
      <c r="P140" s="297"/>
      <c r="Q140" s="297"/>
      <c r="R140" s="297"/>
      <c r="S140" s="271"/>
      <c r="T140" s="271"/>
    </row>
    <row r="141" spans="2:20" x14ac:dyDescent="0.3">
      <c r="B141" s="15"/>
      <c r="C141" s="15"/>
      <c r="D141" s="15"/>
      <c r="E141" s="15"/>
      <c r="F141" s="15"/>
    </row>
    <row r="142" spans="2:20" x14ac:dyDescent="0.3">
      <c r="B142" s="15"/>
      <c r="C142" s="15"/>
      <c r="D142" s="15"/>
      <c r="E142" s="15"/>
      <c r="F142" s="15"/>
    </row>
    <row r="143" spans="2:20" x14ac:dyDescent="0.3">
      <c r="B143" s="15"/>
      <c r="C143" s="15"/>
      <c r="D143" s="15"/>
      <c r="E143" s="15"/>
      <c r="F143" s="15"/>
    </row>
    <row r="144" spans="2:20" x14ac:dyDescent="0.3">
      <c r="B144" s="15"/>
      <c r="C144" s="15"/>
      <c r="D144" s="15"/>
      <c r="E144" s="15"/>
      <c r="F144" s="15"/>
    </row>
    <row r="145" spans="2:6" x14ac:dyDescent="0.3">
      <c r="B145" s="15"/>
      <c r="C145" s="15"/>
      <c r="D145" s="15"/>
      <c r="E145" s="15"/>
      <c r="F145" s="15"/>
    </row>
    <row r="146" spans="2:6" x14ac:dyDescent="0.3">
      <c r="B146" s="15"/>
      <c r="C146" s="15"/>
      <c r="D146" s="15"/>
      <c r="E146" s="15"/>
      <c r="F146" s="15"/>
    </row>
    <row r="147" spans="2:6" x14ac:dyDescent="0.3">
      <c r="B147" s="15"/>
      <c r="C147" s="15"/>
      <c r="D147" s="15"/>
      <c r="E147" s="15"/>
      <c r="F147" s="15"/>
    </row>
    <row r="148" spans="2:6" x14ac:dyDescent="0.3">
      <c r="B148" s="15"/>
      <c r="C148" s="15"/>
      <c r="D148" s="15"/>
      <c r="E148" s="15"/>
      <c r="F148" s="15"/>
    </row>
    <row r="149" spans="2:6" x14ac:dyDescent="0.3">
      <c r="B149" s="15"/>
      <c r="C149" s="15"/>
      <c r="D149" s="15"/>
      <c r="E149" s="15"/>
      <c r="F149" s="15"/>
    </row>
    <row r="150" spans="2:6" x14ac:dyDescent="0.3">
      <c r="B150" s="15"/>
      <c r="C150" s="15"/>
      <c r="D150" s="15"/>
      <c r="E150" s="15"/>
      <c r="F150" s="15"/>
    </row>
    <row r="151" spans="2:6" x14ac:dyDescent="0.3">
      <c r="B151" s="15"/>
      <c r="C151" s="15"/>
      <c r="D151" s="15"/>
      <c r="E151" s="15"/>
      <c r="F151" s="15"/>
    </row>
    <row r="152" spans="2:6" x14ac:dyDescent="0.3">
      <c r="B152" s="15"/>
      <c r="C152" s="15"/>
      <c r="D152" s="15"/>
      <c r="E152" s="15"/>
      <c r="F152" s="15"/>
    </row>
    <row r="153" spans="2:6" x14ac:dyDescent="0.3">
      <c r="B153" s="15"/>
      <c r="C153" s="15"/>
      <c r="D153" s="15"/>
      <c r="E153" s="15"/>
      <c r="F153" s="15"/>
    </row>
    <row r="154" spans="2:6" x14ac:dyDescent="0.3">
      <c r="B154" s="15"/>
      <c r="C154" s="15"/>
      <c r="D154" s="15"/>
      <c r="E154" s="15"/>
      <c r="F154" s="15"/>
    </row>
    <row r="155" spans="2:6" x14ac:dyDescent="0.3">
      <c r="B155" s="15"/>
      <c r="C155" s="15"/>
      <c r="D155" s="15"/>
      <c r="E155" s="15"/>
      <c r="F155" s="15"/>
    </row>
    <row r="156" spans="2:6" x14ac:dyDescent="0.3">
      <c r="B156" s="15"/>
      <c r="C156" s="15"/>
      <c r="D156" s="15"/>
      <c r="E156" s="15"/>
      <c r="F156" s="15"/>
    </row>
    <row r="157" spans="2:6" x14ac:dyDescent="0.3">
      <c r="B157" s="15"/>
      <c r="C157" s="15"/>
      <c r="D157" s="15"/>
      <c r="E157" s="15"/>
      <c r="F157" s="15"/>
    </row>
    <row r="158" spans="2:6" x14ac:dyDescent="0.3">
      <c r="B158" s="15"/>
      <c r="C158" s="15"/>
      <c r="D158" s="15"/>
      <c r="E158" s="15"/>
      <c r="F158" s="15"/>
    </row>
    <row r="159" spans="2:6" x14ac:dyDescent="0.3">
      <c r="B159" s="15"/>
      <c r="C159" s="15"/>
      <c r="D159" s="15"/>
      <c r="E159" s="15"/>
      <c r="F159" s="15"/>
    </row>
    <row r="160" spans="2:6" x14ac:dyDescent="0.3">
      <c r="B160" s="15"/>
      <c r="C160" s="15"/>
      <c r="D160" s="15"/>
      <c r="E160" s="15"/>
      <c r="F160" s="15"/>
    </row>
    <row r="161" spans="1:20" x14ac:dyDescent="0.3">
      <c r="B161" s="15"/>
      <c r="C161" s="15"/>
      <c r="D161" s="15"/>
      <c r="E161" s="15"/>
      <c r="F161" s="15"/>
    </row>
    <row r="162" spans="1:20" x14ac:dyDescent="0.3">
      <c r="B162" s="15"/>
      <c r="C162" s="15"/>
      <c r="D162" s="15"/>
      <c r="E162" s="15"/>
      <c r="F162" s="15"/>
    </row>
    <row r="163" spans="1:20" x14ac:dyDescent="0.3">
      <c r="B163" s="15"/>
      <c r="C163" s="15"/>
      <c r="D163" s="15"/>
      <c r="E163" s="15"/>
      <c r="F163" s="15"/>
    </row>
    <row r="164" spans="1:20" s="327" customFormat="1" ht="18" x14ac:dyDescent="0.35">
      <c r="A164" s="389"/>
      <c r="B164" s="325"/>
      <c r="C164" s="325"/>
      <c r="D164" s="325"/>
      <c r="F164" s="326" t="s">
        <v>71</v>
      </c>
      <c r="L164" s="297" t="s">
        <v>72</v>
      </c>
      <c r="M164" s="271"/>
      <c r="N164" s="271"/>
      <c r="O164" s="297"/>
      <c r="P164" s="297"/>
      <c r="Q164" s="297"/>
      <c r="R164" s="297"/>
      <c r="S164" s="271"/>
      <c r="T164" s="271"/>
    </row>
    <row r="165" spans="1:20" x14ac:dyDescent="0.3">
      <c r="B165" s="15"/>
      <c r="C165" s="15"/>
      <c r="D165" s="15"/>
      <c r="E165" s="15"/>
      <c r="F165" s="15"/>
    </row>
    <row r="166" spans="1:20" x14ac:dyDescent="0.3">
      <c r="B166" s="15"/>
      <c r="C166" s="15"/>
      <c r="D166" s="15"/>
      <c r="E166" s="15"/>
      <c r="F166" s="15"/>
    </row>
    <row r="167" spans="1:20" x14ac:dyDescent="0.3">
      <c r="B167" s="15"/>
      <c r="C167" s="15"/>
      <c r="D167" s="15"/>
      <c r="E167" s="15"/>
      <c r="F167" s="15"/>
    </row>
    <row r="168" spans="1:20" x14ac:dyDescent="0.3">
      <c r="B168" s="15"/>
      <c r="C168" s="15"/>
      <c r="D168" s="15"/>
      <c r="E168" s="15"/>
      <c r="F168" s="15"/>
    </row>
    <row r="169" spans="1:20" x14ac:dyDescent="0.3">
      <c r="B169" s="15"/>
      <c r="C169" s="15"/>
      <c r="D169" s="15"/>
      <c r="E169" s="15"/>
      <c r="F169" s="15"/>
    </row>
    <row r="170" spans="1:20" x14ac:dyDescent="0.3">
      <c r="B170" s="15"/>
      <c r="C170" s="15"/>
      <c r="D170" s="15"/>
      <c r="E170" s="15"/>
      <c r="F170" s="15"/>
    </row>
    <row r="171" spans="1:20" x14ac:dyDescent="0.3">
      <c r="B171" s="15"/>
      <c r="C171" s="15"/>
      <c r="D171" s="15"/>
      <c r="E171" s="15"/>
      <c r="F171" s="15"/>
    </row>
    <row r="172" spans="1:20" x14ac:dyDescent="0.3">
      <c r="B172" s="15"/>
      <c r="C172" s="15"/>
      <c r="D172" s="15"/>
      <c r="E172" s="15"/>
      <c r="F172" s="15"/>
    </row>
    <row r="173" spans="1:20" x14ac:dyDescent="0.3">
      <c r="B173" s="15"/>
      <c r="C173" s="15"/>
      <c r="D173" s="15"/>
      <c r="E173" s="15"/>
      <c r="F173" s="15"/>
    </row>
    <row r="174" spans="1:20" x14ac:dyDescent="0.3">
      <c r="B174" s="15"/>
      <c r="C174" s="15"/>
      <c r="D174" s="15"/>
      <c r="E174" s="15"/>
      <c r="F174" s="15"/>
    </row>
    <row r="175" spans="1:20" x14ac:dyDescent="0.3">
      <c r="B175" s="15"/>
      <c r="C175" s="15"/>
      <c r="D175" s="15"/>
      <c r="E175" s="15"/>
      <c r="F175" s="15"/>
    </row>
    <row r="176" spans="1:20" x14ac:dyDescent="0.3">
      <c r="B176" s="15"/>
      <c r="C176" s="15"/>
      <c r="D176" s="15"/>
      <c r="E176" s="15"/>
      <c r="F176" s="15"/>
    </row>
    <row r="177" spans="2:6" x14ac:dyDescent="0.3">
      <c r="B177" s="15"/>
      <c r="C177" s="15"/>
      <c r="D177" s="15"/>
      <c r="E177" s="15"/>
      <c r="F177" s="15"/>
    </row>
    <row r="178" spans="2:6" x14ac:dyDescent="0.3">
      <c r="B178" s="15"/>
      <c r="C178" s="15"/>
      <c r="D178" s="15"/>
      <c r="E178" s="15"/>
      <c r="F178" s="15"/>
    </row>
    <row r="179" spans="2:6" x14ac:dyDescent="0.3">
      <c r="B179" s="15"/>
      <c r="C179" s="15"/>
      <c r="D179" s="15"/>
      <c r="E179" s="15"/>
      <c r="F179" s="15"/>
    </row>
    <row r="180" spans="2:6" x14ac:dyDescent="0.3">
      <c r="B180" s="15"/>
      <c r="C180" s="15"/>
      <c r="D180" s="15"/>
      <c r="E180" s="15"/>
      <c r="F180" s="15"/>
    </row>
    <row r="181" spans="2:6" x14ac:dyDescent="0.3">
      <c r="B181" s="15"/>
      <c r="C181" s="15"/>
      <c r="D181" s="15"/>
      <c r="E181" s="15"/>
      <c r="F181" s="15"/>
    </row>
    <row r="182" spans="2:6" x14ac:dyDescent="0.3">
      <c r="B182" s="15"/>
      <c r="C182" s="15"/>
      <c r="D182" s="15"/>
      <c r="E182" s="15"/>
      <c r="F182" s="15"/>
    </row>
    <row r="183" spans="2:6" x14ac:dyDescent="0.3">
      <c r="B183" s="15"/>
      <c r="C183" s="15"/>
      <c r="D183" s="15"/>
      <c r="E183" s="15"/>
      <c r="F183" s="15"/>
    </row>
    <row r="184" spans="2:6" x14ac:dyDescent="0.3">
      <c r="B184" s="15"/>
      <c r="C184" s="15"/>
      <c r="D184" s="15"/>
      <c r="E184" s="15"/>
      <c r="F184" s="15"/>
    </row>
    <row r="185" spans="2:6" x14ac:dyDescent="0.3">
      <c r="B185" s="15"/>
      <c r="C185" s="15"/>
      <c r="D185" s="15"/>
      <c r="E185" s="15"/>
      <c r="F185" s="15"/>
    </row>
    <row r="186" spans="2:6" x14ac:dyDescent="0.3">
      <c r="B186" s="15"/>
      <c r="C186" s="15"/>
      <c r="D186" s="15"/>
      <c r="E186" s="15"/>
      <c r="F186" s="15"/>
    </row>
    <row r="187" spans="2:6" x14ac:dyDescent="0.3">
      <c r="B187" s="15"/>
      <c r="C187" s="15"/>
      <c r="D187" s="15"/>
      <c r="E187" s="15"/>
      <c r="F187" s="15"/>
    </row>
    <row r="188" spans="2:6" x14ac:dyDescent="0.3">
      <c r="B188" s="15"/>
      <c r="C188" s="15"/>
      <c r="D188" s="15"/>
      <c r="E188" s="15"/>
      <c r="F188" s="15"/>
    </row>
    <row r="189" spans="2:6" x14ac:dyDescent="0.3">
      <c r="B189" s="15"/>
      <c r="C189" s="15"/>
      <c r="D189" s="15"/>
      <c r="E189" s="15"/>
      <c r="F189" s="15"/>
    </row>
    <row r="190" spans="2:6" x14ac:dyDescent="0.3">
      <c r="B190" s="15"/>
      <c r="C190" s="15"/>
      <c r="D190" s="15"/>
      <c r="E190" s="15"/>
      <c r="F190" s="15"/>
    </row>
    <row r="191" spans="2:6" x14ac:dyDescent="0.3">
      <c r="B191" s="15"/>
      <c r="C191" s="15"/>
      <c r="D191" s="15"/>
      <c r="E191" s="15"/>
      <c r="F191" s="15"/>
    </row>
    <row r="192" spans="2:6" x14ac:dyDescent="0.3">
      <c r="B192" s="15"/>
      <c r="C192" s="15"/>
      <c r="D192" s="15"/>
      <c r="E192" s="15"/>
      <c r="F192" s="15"/>
    </row>
    <row r="193" spans="2:6" x14ac:dyDescent="0.3">
      <c r="B193" s="15"/>
      <c r="C193" s="15"/>
      <c r="D193" s="15"/>
      <c r="E193" s="15"/>
      <c r="F193" s="15"/>
    </row>
    <row r="194" spans="2:6" x14ac:dyDescent="0.3">
      <c r="B194" s="15"/>
      <c r="C194" s="15"/>
      <c r="D194" s="15"/>
      <c r="E194" s="15"/>
      <c r="F194" s="15"/>
    </row>
    <row r="195" spans="2:6" x14ac:dyDescent="0.3">
      <c r="B195" s="15"/>
      <c r="C195" s="15"/>
      <c r="D195" s="15"/>
      <c r="E195" s="15"/>
      <c r="F195" s="15"/>
    </row>
    <row r="196" spans="2:6" x14ac:dyDescent="0.3">
      <c r="B196" s="15"/>
      <c r="C196" s="15"/>
      <c r="D196" s="15"/>
      <c r="E196" s="15"/>
      <c r="F196" s="15"/>
    </row>
    <row r="197" spans="2:6" x14ac:dyDescent="0.3">
      <c r="B197" s="15"/>
      <c r="C197" s="15"/>
      <c r="D197" s="15"/>
      <c r="E197" s="15"/>
      <c r="F197" s="15"/>
    </row>
    <row r="198" spans="2:6" x14ac:dyDescent="0.3">
      <c r="B198" s="15"/>
      <c r="C198" s="15"/>
      <c r="D198" s="15"/>
      <c r="E198" s="15"/>
      <c r="F198" s="15"/>
    </row>
    <row r="199" spans="2:6" x14ac:dyDescent="0.3">
      <c r="B199" s="15"/>
      <c r="C199" s="15"/>
      <c r="D199" s="15"/>
      <c r="E199" s="15"/>
      <c r="F199" s="15"/>
    </row>
    <row r="200" spans="2:6" x14ac:dyDescent="0.3">
      <c r="B200" s="15"/>
      <c r="C200" s="15"/>
      <c r="D200" s="15"/>
      <c r="E200" s="15"/>
      <c r="F200" s="15"/>
    </row>
    <row r="201" spans="2:6" x14ac:dyDescent="0.3">
      <c r="B201" s="15"/>
      <c r="C201" s="15"/>
      <c r="D201" s="15"/>
      <c r="E201" s="15"/>
      <c r="F201" s="15"/>
    </row>
    <row r="202" spans="2:6" x14ac:dyDescent="0.3">
      <c r="B202" s="15"/>
      <c r="C202" s="15"/>
      <c r="D202" s="15"/>
      <c r="E202" s="15"/>
      <c r="F202" s="15"/>
    </row>
    <row r="203" spans="2:6" x14ac:dyDescent="0.3">
      <c r="B203" s="15"/>
      <c r="C203" s="15"/>
      <c r="D203" s="15"/>
      <c r="E203" s="15"/>
      <c r="F203" s="15"/>
    </row>
    <row r="204" spans="2:6" x14ac:dyDescent="0.3">
      <c r="B204" s="15"/>
      <c r="C204" s="15"/>
      <c r="D204" s="15"/>
      <c r="E204" s="15"/>
      <c r="F204" s="15"/>
    </row>
    <row r="205" spans="2:6" x14ac:dyDescent="0.3">
      <c r="B205" s="15"/>
      <c r="C205" s="15"/>
      <c r="D205" s="15"/>
      <c r="E205" s="15"/>
      <c r="F205" s="15"/>
    </row>
    <row r="206" spans="2:6" x14ac:dyDescent="0.3">
      <c r="B206" s="15"/>
      <c r="C206" s="15"/>
      <c r="D206" s="15"/>
      <c r="E206" s="15"/>
      <c r="F206" s="15"/>
    </row>
    <row r="207" spans="2:6" x14ac:dyDescent="0.3">
      <c r="B207" s="15"/>
      <c r="C207" s="15"/>
      <c r="D207" s="15"/>
      <c r="E207" s="15"/>
      <c r="F207" s="15"/>
    </row>
    <row r="208" spans="2:6" x14ac:dyDescent="0.3">
      <c r="B208" s="15"/>
      <c r="C208" s="15"/>
      <c r="D208" s="15"/>
      <c r="E208" s="15"/>
      <c r="F208" s="15"/>
    </row>
    <row r="209" spans="1:22" x14ac:dyDescent="0.3">
      <c r="B209" s="15"/>
      <c r="C209" s="15"/>
      <c r="D209" s="15"/>
      <c r="E209" s="15"/>
      <c r="F209" s="15"/>
    </row>
    <row r="210" spans="1:22" x14ac:dyDescent="0.3">
      <c r="B210" s="15"/>
      <c r="C210" s="15"/>
      <c r="D210" s="15"/>
      <c r="E210" s="15"/>
      <c r="F210" s="15"/>
    </row>
    <row r="211" spans="1:22" x14ac:dyDescent="0.3">
      <c r="B211" s="15"/>
      <c r="C211" s="15"/>
      <c r="D211" s="15"/>
      <c r="E211" s="15"/>
      <c r="F211" s="15"/>
    </row>
    <row r="212" spans="1:22" x14ac:dyDescent="0.3">
      <c r="B212" s="15"/>
      <c r="C212" s="15"/>
      <c r="D212" s="15"/>
      <c r="E212" s="15"/>
      <c r="F212" s="15"/>
    </row>
    <row r="213" spans="1:22" x14ac:dyDescent="0.3">
      <c r="B213" s="15"/>
      <c r="C213" s="15"/>
      <c r="D213" s="15"/>
      <c r="E213" s="15"/>
      <c r="F213" s="15"/>
    </row>
    <row r="214" spans="1:22" x14ac:dyDescent="0.3">
      <c r="B214" s="15"/>
      <c r="C214" s="15"/>
      <c r="D214" s="15"/>
      <c r="E214" s="15"/>
      <c r="F214" s="15"/>
    </row>
    <row r="215" spans="1:22" x14ac:dyDescent="0.3">
      <c r="B215" s="15"/>
      <c r="C215" s="15"/>
      <c r="D215" s="15"/>
      <c r="E215" s="15"/>
      <c r="F215" s="15"/>
    </row>
    <row r="216" spans="1:22" x14ac:dyDescent="0.3">
      <c r="B216" s="15"/>
      <c r="C216" s="15"/>
      <c r="D216" s="15"/>
      <c r="E216" s="15"/>
      <c r="F216" s="15"/>
    </row>
    <row r="217" spans="1:22" x14ac:dyDescent="0.3">
      <c r="B217" s="15"/>
      <c r="C217" s="15"/>
      <c r="D217" s="15"/>
      <c r="E217" s="15"/>
      <c r="F217" s="15"/>
    </row>
    <row r="218" spans="1:22" x14ac:dyDescent="0.3">
      <c r="B218" s="15"/>
      <c r="C218" s="15"/>
      <c r="D218" s="15"/>
      <c r="E218" s="15"/>
      <c r="F218" s="15"/>
    </row>
    <row r="219" spans="1:22" x14ac:dyDescent="0.3">
      <c r="B219" s="15"/>
      <c r="C219" s="15"/>
      <c r="D219" s="15"/>
      <c r="E219" s="15"/>
      <c r="F219" s="15"/>
    </row>
    <row r="220" spans="1:22" x14ac:dyDescent="0.3">
      <c r="B220" s="15"/>
      <c r="C220" s="15"/>
      <c r="D220" s="15"/>
      <c r="E220" s="15"/>
      <c r="F220" s="15"/>
    </row>
    <row r="221" spans="1:22" x14ac:dyDescent="0.3">
      <c r="B221" s="15"/>
      <c r="C221" s="15"/>
      <c r="D221" s="15"/>
      <c r="E221" s="15"/>
      <c r="F221" s="15"/>
    </row>
    <row r="222" spans="1:22" s="8" customFormat="1" ht="21" x14ac:dyDescent="0.4">
      <c r="A222" s="388" t="s">
        <v>3</v>
      </c>
      <c r="B222" s="9" t="s">
        <v>73</v>
      </c>
      <c r="C222" s="9"/>
      <c r="D222" s="9"/>
      <c r="E222" s="9"/>
      <c r="F222" s="9"/>
    </row>
    <row r="224" spans="1:22" ht="15" thickBot="1" x14ac:dyDescent="0.35">
      <c r="B224" s="93" t="s">
        <v>74</v>
      </c>
      <c r="L224" s="83">
        <v>2021</v>
      </c>
      <c r="M224" s="83">
        <v>2022</v>
      </c>
      <c r="N224" s="83">
        <v>2023</v>
      </c>
      <c r="O224" s="83">
        <v>2024</v>
      </c>
      <c r="P224" s="80">
        <v>2025</v>
      </c>
      <c r="Q224" s="80">
        <v>2026</v>
      </c>
      <c r="R224" s="80">
        <v>2027</v>
      </c>
      <c r="S224" s="80">
        <v>2028</v>
      </c>
      <c r="T224" s="80">
        <v>2029</v>
      </c>
      <c r="U224" s="80">
        <v>2030</v>
      </c>
      <c r="V224" s="80">
        <v>2031</v>
      </c>
    </row>
    <row r="225" spans="2:22" x14ac:dyDescent="0.3">
      <c r="B225" s="11" t="s">
        <v>75</v>
      </c>
      <c r="C225" s="11"/>
      <c r="D225" s="11"/>
      <c r="E225" s="11"/>
      <c r="F225" s="11"/>
    </row>
    <row r="226" spans="2:22" x14ac:dyDescent="0.3">
      <c r="B226" s="15" t="s">
        <v>32</v>
      </c>
      <c r="C226" s="15"/>
      <c r="D226" s="15"/>
      <c r="E226" s="15"/>
      <c r="F226" s="15"/>
      <c r="L226" s="107">
        <f>SUM(Model!F57,Model!F62,'Spectris Raw Data '!C73,'Spectris Raw Data '!C81)</f>
        <v>38.9</v>
      </c>
      <c r="M226" s="107">
        <f>SUM(Model!G57,Model!G62,'Spectris Raw Data '!D73,'Spectris Raw Data '!D81)</f>
        <v>66</v>
      </c>
      <c r="N226" s="107">
        <f>SUM(Model!H57,Model!H62,'Spectris Raw Data '!E73,'Spectris Raw Data '!E81)</f>
        <v>65.100000000000009</v>
      </c>
      <c r="O226" s="107">
        <f>SUM(Model!I57,Model!I62,'Spectris Raw Data '!F73,'Spectris Raw Data '!F81)</f>
        <v>717.39999999999986</v>
      </c>
      <c r="P226" s="110"/>
      <c r="Q226" s="110"/>
      <c r="R226" s="110"/>
      <c r="S226" s="110"/>
      <c r="T226" s="110"/>
      <c r="U226" s="110"/>
      <c r="V226" s="110"/>
    </row>
    <row r="227" spans="2:22" x14ac:dyDescent="0.3">
      <c r="B227" s="15" t="s">
        <v>76</v>
      </c>
      <c r="C227" s="15"/>
      <c r="D227" s="15"/>
      <c r="E227" s="15"/>
      <c r="F227" s="15"/>
      <c r="L227" s="107">
        <f>Model!F25</f>
        <v>-5.4</v>
      </c>
      <c r="M227" s="107">
        <f>Model!G25</f>
        <v>-19.2</v>
      </c>
      <c r="N227" s="107">
        <f>Model!H25</f>
        <v>-4.0999999999999996</v>
      </c>
      <c r="O227" s="107">
        <f>Model!I25</f>
        <v>-17.8</v>
      </c>
      <c r="P227" s="110"/>
      <c r="Q227" s="110"/>
      <c r="R227" s="110"/>
      <c r="S227" s="110"/>
      <c r="T227" s="110"/>
      <c r="U227" s="110"/>
      <c r="V227" s="110"/>
    </row>
    <row r="228" spans="2:22" x14ac:dyDescent="0.3">
      <c r="B228" s="15" t="s">
        <v>18</v>
      </c>
      <c r="C228" s="15"/>
      <c r="D228" s="15"/>
      <c r="E228" s="15"/>
      <c r="F228" s="15"/>
      <c r="L228" s="107">
        <f>Model!F19</f>
        <v>190.20000000000005</v>
      </c>
      <c r="M228" s="107">
        <f>Model!G19</f>
        <v>233.70000000000005</v>
      </c>
      <c r="N228" s="107">
        <f>Model!H19</f>
        <v>246.29999999999995</v>
      </c>
      <c r="O228" s="107">
        <f>Model!I19</f>
        <v>158.60000000000014</v>
      </c>
      <c r="P228" s="110"/>
      <c r="Q228" s="110"/>
      <c r="R228" s="110"/>
      <c r="S228" s="110"/>
      <c r="T228" s="110"/>
      <c r="U228" s="110"/>
      <c r="V228" s="110"/>
    </row>
    <row r="229" spans="2:22" x14ac:dyDescent="0.3">
      <c r="B229" s="15" t="s">
        <v>77</v>
      </c>
      <c r="C229" s="15"/>
      <c r="D229" s="15"/>
      <c r="E229" s="15"/>
      <c r="F229" s="15"/>
      <c r="L229" s="107">
        <f>Model!F28-Model!F25-Model!F26-Model!F27</f>
        <v>139.89999999999998</v>
      </c>
      <c r="M229" s="107">
        <f>Model!G28-Model!G25-Model!G26-Model!G27</f>
        <v>172.60000000000002</v>
      </c>
      <c r="N229" s="107">
        <f>Model!H28-Model!H25-Model!H26-Model!H27</f>
        <v>188.59999999999997</v>
      </c>
      <c r="O229" s="107">
        <f>Model!I28-Model!I25-Model!I26-Model!I27</f>
        <v>97.600000000000165</v>
      </c>
      <c r="P229" s="110"/>
      <c r="Q229" s="110"/>
      <c r="R229" s="110"/>
      <c r="S229" s="110"/>
      <c r="T229" s="110"/>
      <c r="U229" s="110"/>
      <c r="V229" s="110"/>
    </row>
    <row r="230" spans="2:22" x14ac:dyDescent="0.3">
      <c r="B230" t="s">
        <v>78</v>
      </c>
    </row>
    <row r="232" spans="2:22" ht="15" thickBot="1" x14ac:dyDescent="0.35">
      <c r="L232" s="83">
        <v>2021</v>
      </c>
      <c r="M232" s="83">
        <v>2022</v>
      </c>
      <c r="N232" s="83">
        <v>2023</v>
      </c>
      <c r="O232" s="83">
        <v>2024</v>
      </c>
      <c r="P232" s="80">
        <v>2025</v>
      </c>
      <c r="Q232" s="80">
        <v>2026</v>
      </c>
      <c r="R232" s="80">
        <v>2027</v>
      </c>
      <c r="S232" s="80">
        <v>2028</v>
      </c>
      <c r="T232" s="80">
        <v>2029</v>
      </c>
      <c r="U232" s="80">
        <v>2030</v>
      </c>
      <c r="V232" s="80">
        <v>2031</v>
      </c>
    </row>
    <row r="233" spans="2:22" x14ac:dyDescent="0.3">
      <c r="B233" s="93" t="s">
        <v>79</v>
      </c>
      <c r="L233" s="94"/>
      <c r="M233" s="94"/>
      <c r="N233" s="94"/>
      <c r="O233" s="94"/>
      <c r="P233" s="95"/>
      <c r="Q233" s="95"/>
      <c r="R233" s="95"/>
      <c r="S233" s="95"/>
      <c r="T233" s="95"/>
      <c r="U233" s="95"/>
      <c r="V233" s="95"/>
    </row>
    <row r="234" spans="2:22" x14ac:dyDescent="0.3">
      <c r="B234" t="s">
        <v>80</v>
      </c>
      <c r="L234" s="401">
        <f>L229/-L227</f>
        <v>25.907407407407401</v>
      </c>
      <c r="M234" s="401">
        <f>M229/-M227</f>
        <v>8.9895833333333357</v>
      </c>
      <c r="N234" s="401">
        <f>N229/-N227</f>
        <v>45.999999999999993</v>
      </c>
      <c r="O234" s="401">
        <f>O229/-O227</f>
        <v>5.4831460674157393</v>
      </c>
      <c r="P234" s="110"/>
      <c r="Q234" s="110"/>
      <c r="R234" s="110"/>
      <c r="S234" s="110"/>
      <c r="T234" s="110"/>
      <c r="U234" s="110"/>
      <c r="V234" s="110"/>
    </row>
    <row r="235" spans="2:22" x14ac:dyDescent="0.3">
      <c r="B235" t="s">
        <v>81</v>
      </c>
      <c r="L235" s="401">
        <f>L226/L228</f>
        <v>0.20452155625657198</v>
      </c>
      <c r="M235" s="401">
        <f>M226/M228</f>
        <v>0.28241335044929389</v>
      </c>
      <c r="N235" s="401">
        <f>N226/N228</f>
        <v>0.264311814859927</v>
      </c>
      <c r="O235" s="401">
        <f>O226/O228</f>
        <v>4.5233291298865019</v>
      </c>
      <c r="P235" s="110"/>
      <c r="Q235" s="110"/>
      <c r="R235" s="110"/>
      <c r="S235" s="110"/>
      <c r="T235" s="110"/>
      <c r="U235" s="110"/>
      <c r="V235" s="110"/>
    </row>
    <row r="239" spans="2:22" ht="15" thickBot="1" x14ac:dyDescent="0.35">
      <c r="L239" s="83">
        <v>2021</v>
      </c>
      <c r="M239" s="83">
        <v>2022</v>
      </c>
      <c r="N239" s="83">
        <v>2023</v>
      </c>
      <c r="O239" s="83">
        <v>2024</v>
      </c>
      <c r="P239" s="80">
        <v>2025</v>
      </c>
      <c r="Q239" s="80">
        <v>2026</v>
      </c>
      <c r="R239" s="80">
        <v>2027</v>
      </c>
      <c r="S239" s="80">
        <v>2028</v>
      </c>
      <c r="T239" s="80">
        <v>2029</v>
      </c>
      <c r="U239" s="80">
        <v>2030</v>
      </c>
      <c r="V239" s="80">
        <v>2031</v>
      </c>
    </row>
    <row r="240" spans="2:22" x14ac:dyDescent="0.3">
      <c r="B240" s="93" t="s">
        <v>82</v>
      </c>
      <c r="L240" s="94"/>
      <c r="M240" s="94"/>
      <c r="N240" s="94"/>
      <c r="O240" s="94"/>
      <c r="P240" s="95"/>
      <c r="Q240" s="95"/>
      <c r="R240" s="95"/>
      <c r="S240" s="95"/>
      <c r="T240" s="95"/>
      <c r="U240" s="95"/>
      <c r="V240" s="95"/>
    </row>
    <row r="241" spans="2:22" x14ac:dyDescent="0.3">
      <c r="B241" t="s">
        <v>83</v>
      </c>
      <c r="L241" s="110"/>
      <c r="M241" s="110"/>
      <c r="N241" s="110"/>
      <c r="O241" s="110"/>
      <c r="P241" s="269">
        <f>_xlfn.XLOOKUP(P239,'Inputs and Drivers'!$K$66:$Q$66,'Inputs and Drivers'!$K$75:$Q$75)</f>
        <v>0.32340032340032332</v>
      </c>
      <c r="Q241" s="269">
        <f>_xlfn.XLOOKUP(Q239,'Inputs and Drivers'!$K$66:$Q$66,'Inputs and Drivers'!$K$75:$Q$75)</f>
        <v>0.30415030415030397</v>
      </c>
      <c r="R241" s="269">
        <f>_xlfn.XLOOKUP(R239,'Inputs and Drivers'!$K$66:$Q$66,'Inputs and Drivers'!$K$75:$Q$75)</f>
        <v>0.30215030415030397</v>
      </c>
      <c r="S241" s="269">
        <f>_xlfn.XLOOKUP(S239,'Inputs and Drivers'!$K$66:$Q$66,'Inputs and Drivers'!$K$75:$Q$75)</f>
        <v>0.30015030415030397</v>
      </c>
      <c r="T241" s="269">
        <f>_xlfn.XLOOKUP(T239,'Inputs and Drivers'!$K$66:$Q$66,'Inputs and Drivers'!$K$75:$Q$75)</f>
        <v>0.29815030415030397</v>
      </c>
      <c r="U241" s="269">
        <f>_xlfn.XLOOKUP(U239,'Inputs and Drivers'!$K$66:$Q$66,'Inputs and Drivers'!$K$75:$Q$75)</f>
        <v>0.29615030415030397</v>
      </c>
      <c r="V241" s="146">
        <f>_xlfn.XLOOKUP(V239,'Inputs and Drivers'!$K$66:$Q$66,'Inputs and Drivers'!$K$75:$Q$75)</f>
        <v>0.29415030415030402</v>
      </c>
    </row>
    <row r="242" spans="2:22" x14ac:dyDescent="0.3">
      <c r="B242" t="s">
        <v>84</v>
      </c>
      <c r="L242" s="110"/>
      <c r="M242" s="110"/>
      <c r="N242" s="110"/>
      <c r="O242" s="110"/>
      <c r="P242" s="400">
        <f>-Model!J17</f>
        <v>475.04577084777071</v>
      </c>
      <c r="Q242" s="400">
        <f>-Model!K17</f>
        <v>488.39811876645865</v>
      </c>
      <c r="R242" s="400">
        <f>-Model!L17</f>
        <v>516.73325123943164</v>
      </c>
      <c r="S242" s="400">
        <f>-Model!M17</f>
        <v>550.63680970266341</v>
      </c>
      <c r="T242" s="400">
        <f>-Model!N17</f>
        <v>586.17819596241225</v>
      </c>
      <c r="U242" s="400">
        <f>-Model!O17</f>
        <v>623.28206918573858</v>
      </c>
      <c r="V242" s="400">
        <f>-Model!P17</f>
        <v>661.85659775611589</v>
      </c>
    </row>
    <row r="246" spans="2:22" x14ac:dyDescent="0.3">
      <c r="B246" s="226" t="s">
        <v>85</v>
      </c>
      <c r="C246" s="280"/>
      <c r="D246" s="281" t="s">
        <v>63</v>
      </c>
      <c r="E246" s="281" t="s">
        <v>64</v>
      </c>
    </row>
    <row r="247" spans="2:22" x14ac:dyDescent="0.3">
      <c r="B247" s="282">
        <v>1</v>
      </c>
      <c r="D247" s="284">
        <f ca="1">Model!C425</f>
        <v>0.15084887146949771</v>
      </c>
      <c r="E247" s="285">
        <f ca="1">Model!D425</f>
        <v>1.2793547550591653</v>
      </c>
    </row>
    <row r="248" spans="2:22" x14ac:dyDescent="0.3">
      <c r="B248" s="283">
        <f>B247+1</f>
        <v>2</v>
      </c>
      <c r="D248" s="284">
        <f ca="1">Model!C424</f>
        <v>0.155822890996933</v>
      </c>
      <c r="E248" s="285">
        <f ca="1">Model!D424</f>
        <v>1.4905231729266242</v>
      </c>
    </row>
    <row r="249" spans="2:22" x14ac:dyDescent="0.3">
      <c r="B249" s="283">
        <f t="shared" ref="B249:B251" si="4">B248+1</f>
        <v>3</v>
      </c>
      <c r="D249" s="284">
        <f ca="1">Model!C423</f>
        <v>0.15549191832542422</v>
      </c>
      <c r="E249" s="285">
        <f ca="1">Model!D423</f>
        <v>1.7209285654605908</v>
      </c>
    </row>
    <row r="250" spans="2:22" x14ac:dyDescent="0.3">
      <c r="B250" s="283">
        <f t="shared" si="4"/>
        <v>4</v>
      </c>
      <c r="D250" s="284">
        <f ca="1">Model!C422</f>
        <v>0.15353470444679265</v>
      </c>
      <c r="E250" s="285">
        <f ca="1">Model!D422</f>
        <v>1.9725500705904069</v>
      </c>
    </row>
    <row r="251" spans="2:22" x14ac:dyDescent="0.3">
      <c r="B251" s="283">
        <f t="shared" si="4"/>
        <v>5</v>
      </c>
      <c r="D251" s="284">
        <f ca="1">Model!C421</f>
        <v>0.15088873505592348</v>
      </c>
      <c r="E251" s="285">
        <f ca="1">Model!D421</f>
        <v>2.2455251669970728</v>
      </c>
    </row>
    <row r="253" spans="2:22" x14ac:dyDescent="0.3">
      <c r="B253" s="226" t="s">
        <v>86</v>
      </c>
      <c r="C253" s="226"/>
      <c r="D253" s="226"/>
    </row>
    <row r="254" spans="2:22" x14ac:dyDescent="0.3">
      <c r="B254" s="215" t="s">
        <v>87</v>
      </c>
      <c r="D254" s="285">
        <f ca="1">'Transaction Details'!C8</f>
        <v>20.000777675339581</v>
      </c>
    </row>
    <row r="255" spans="2:22" x14ac:dyDescent="0.3">
      <c r="B255" s="215" t="s">
        <v>88</v>
      </c>
      <c r="D255" s="285">
        <f>'Transaction Details'!C9</f>
        <v>19.996022008001116</v>
      </c>
    </row>
    <row r="259" spans="2:7" x14ac:dyDescent="0.3">
      <c r="B259" t="s">
        <v>89</v>
      </c>
      <c r="G259" s="405">
        <v>20</v>
      </c>
    </row>
    <row r="260" spans="2:7" x14ac:dyDescent="0.3">
      <c r="B260" t="s">
        <v>90</v>
      </c>
      <c r="G260" s="405">
        <v>18.7</v>
      </c>
    </row>
    <row r="261" spans="2:7" x14ac:dyDescent="0.3">
      <c r="B261" t="s">
        <v>91</v>
      </c>
      <c r="G261" s="405">
        <v>16.2</v>
      </c>
    </row>
    <row r="262" spans="2:7" x14ac:dyDescent="0.3">
      <c r="B262" t="s">
        <v>92</v>
      </c>
      <c r="G262" s="405">
        <v>14.2</v>
      </c>
    </row>
    <row r="263" spans="2:7" x14ac:dyDescent="0.3">
      <c r="G263" s="405"/>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F2B88-AD58-4699-BE4B-120D693D5742}">
  <dimension ref="A3:Q263"/>
  <sheetViews>
    <sheetView showGridLines="0" zoomScale="85" zoomScaleNormal="85" workbookViewId="0">
      <selection activeCell="B3" sqref="B3"/>
    </sheetView>
  </sheetViews>
  <sheetFormatPr defaultColWidth="21.6640625" defaultRowHeight="14.4" outlineLevelRow="1" x14ac:dyDescent="0.3"/>
  <cols>
    <col min="1" max="1" width="4.6640625" style="388" customWidth="1"/>
    <col min="2" max="2" width="36.6640625" bestFit="1" customWidth="1"/>
    <col min="5" max="5" width="24.6640625" customWidth="1"/>
  </cols>
  <sheetData>
    <row r="3" spans="1:17" ht="18" x14ac:dyDescent="0.35">
      <c r="A3" s="387" t="s">
        <v>93</v>
      </c>
      <c r="B3" s="10" t="s">
        <v>4</v>
      </c>
      <c r="C3" s="10"/>
      <c r="E3" s="10" t="s">
        <v>5</v>
      </c>
      <c r="F3" s="10"/>
      <c r="G3" s="10"/>
      <c r="H3" s="10"/>
      <c r="I3" s="10"/>
      <c r="J3" s="10"/>
      <c r="K3" s="10"/>
      <c r="L3" s="10"/>
      <c r="M3" s="10"/>
      <c r="N3" s="10"/>
      <c r="O3" s="10"/>
      <c r="P3" s="10"/>
      <c r="Q3" s="10"/>
    </row>
    <row r="4" spans="1:17" outlineLevel="1" x14ac:dyDescent="0.3">
      <c r="A4" s="387"/>
      <c r="E4" s="45"/>
    </row>
    <row r="5" spans="1:17" outlineLevel="1" x14ac:dyDescent="0.3">
      <c r="A5" s="387"/>
      <c r="B5" s="23" t="s">
        <v>6</v>
      </c>
    </row>
    <row r="6" spans="1:17" outlineLevel="1" x14ac:dyDescent="0.3">
      <c r="A6" s="387"/>
    </row>
    <row r="7" spans="1:17" outlineLevel="1" x14ac:dyDescent="0.3">
      <c r="A7" s="387"/>
      <c r="B7" s="12" t="s">
        <v>7</v>
      </c>
      <c r="C7" s="13"/>
      <c r="E7" s="14" t="s">
        <v>8</v>
      </c>
      <c r="F7" s="12" t="s">
        <v>9</v>
      </c>
      <c r="G7" s="12" t="s">
        <v>10</v>
      </c>
      <c r="I7" s="14" t="s">
        <v>11</v>
      </c>
      <c r="J7" s="13"/>
      <c r="K7" s="13"/>
      <c r="L7" s="13"/>
    </row>
    <row r="8" spans="1:17" outlineLevel="1" x14ac:dyDescent="0.3">
      <c r="A8" s="387"/>
      <c r="B8" s="15" t="s">
        <v>12</v>
      </c>
      <c r="C8" s="24">
        <f ca="1">C24/C10</f>
        <v>20.000777675339581</v>
      </c>
      <c r="E8" s="15" t="s">
        <v>13</v>
      </c>
      <c r="F8" s="90">
        <f ca="1">MAX(C20-'Inputs and Drivers'!L136,0)</f>
        <v>0</v>
      </c>
      <c r="G8" s="24">
        <f t="shared" ref="G8:G12" ca="1" si="0">F8/$C$10</f>
        <v>0</v>
      </c>
      <c r="I8" s="15" t="s">
        <v>14</v>
      </c>
      <c r="L8" s="27">
        <f>C16</f>
        <v>4146.1876569999995</v>
      </c>
    </row>
    <row r="9" spans="1:17" outlineLevel="1" x14ac:dyDescent="0.3">
      <c r="A9" s="387"/>
      <c r="B9" s="15" t="s">
        <v>15</v>
      </c>
      <c r="C9" s="219">
        <v>19.996022008001116</v>
      </c>
      <c r="E9" s="15" t="s">
        <v>16</v>
      </c>
      <c r="F9" s="20">
        <v>200</v>
      </c>
      <c r="G9" s="24">
        <f t="shared" si="0"/>
        <v>0.86906684695448666</v>
      </c>
      <c r="I9" s="15" t="s">
        <v>17</v>
      </c>
      <c r="L9" s="27">
        <f ca="1">SUM(Model!Q274,Model!Q264)</f>
        <v>490.16307995346784</v>
      </c>
    </row>
    <row r="10" spans="1:17" outlineLevel="1" x14ac:dyDescent="0.3">
      <c r="A10" s="387"/>
      <c r="B10" s="15" t="s">
        <v>18</v>
      </c>
      <c r="C10" s="21">
        <f>SUM(Model!Q19,0.75*Model!J19)</f>
        <v>230.13189457274748</v>
      </c>
      <c r="E10" s="15" t="s">
        <v>19</v>
      </c>
      <c r="F10" s="20">
        <v>858</v>
      </c>
      <c r="G10" s="24">
        <f>F10/$C$10</f>
        <v>3.7282967734347476</v>
      </c>
      <c r="I10" s="15" t="s">
        <v>20</v>
      </c>
      <c r="L10" s="62">
        <f ca="1">M30</f>
        <v>142.05201473906936</v>
      </c>
    </row>
    <row r="11" spans="1:17" outlineLevel="1" x14ac:dyDescent="0.3">
      <c r="A11" s="387"/>
      <c r="B11" s="15" t="s">
        <v>21</v>
      </c>
      <c r="C11" s="19" t="str">
        <f ca="1">IF(C8=C9,"Yes","No")</f>
        <v>No</v>
      </c>
      <c r="E11" s="15" t="s">
        <v>22</v>
      </c>
      <c r="F11" s="20">
        <v>684</v>
      </c>
      <c r="G11" s="24">
        <f t="shared" si="0"/>
        <v>2.9722086165843442</v>
      </c>
      <c r="I11" s="29" t="s">
        <v>23</v>
      </c>
      <c r="L11" s="30">
        <f ca="1">SUM(L8:L10)</f>
        <v>4778.4027516925362</v>
      </c>
    </row>
    <row r="12" spans="1:17" outlineLevel="1" x14ac:dyDescent="0.3">
      <c r="A12" s="387"/>
      <c r="E12" s="15" t="s">
        <v>24</v>
      </c>
      <c r="F12" s="28">
        <f ca="1">F13-SUM(F8:F11)</f>
        <v>3036.4027516925362</v>
      </c>
      <c r="G12" s="221">
        <f t="shared" ca="1" si="0"/>
        <v>13.194184827486797</v>
      </c>
    </row>
    <row r="13" spans="1:17" outlineLevel="1" x14ac:dyDescent="0.3">
      <c r="A13" s="387"/>
      <c r="B13" s="12" t="s">
        <v>25</v>
      </c>
      <c r="C13" s="13"/>
      <c r="E13" s="29" t="s">
        <v>26</v>
      </c>
      <c r="F13" s="26">
        <f ca="1">L11</f>
        <v>4778.4027516925362</v>
      </c>
      <c r="G13" s="24">
        <f ca="1">F13/$C$10</f>
        <v>20.763757064460378</v>
      </c>
    </row>
    <row r="14" spans="1:17" outlineLevel="1" x14ac:dyDescent="0.3">
      <c r="A14" s="387"/>
      <c r="B14" s="15" t="s">
        <v>27</v>
      </c>
      <c r="C14" s="27">
        <f>C26*C27</f>
        <v>4146.1876569999995</v>
      </c>
      <c r="I14" s="13" t="s">
        <v>94</v>
      </c>
      <c r="J14" s="13"/>
      <c r="K14" s="13" t="s">
        <v>95</v>
      </c>
      <c r="L14" s="13"/>
    </row>
    <row r="15" spans="1:17" outlineLevel="1" x14ac:dyDescent="0.3">
      <c r="A15" s="387"/>
      <c r="B15" s="15" t="s">
        <v>28</v>
      </c>
      <c r="C15" s="21">
        <v>82.623000000000005</v>
      </c>
      <c r="F15" s="27"/>
      <c r="I15" s="18">
        <f ca="1">F12/F13</f>
        <v>0.63544303598457164</v>
      </c>
      <c r="K15" s="18">
        <f ca="1">SUM(F9:F11)/F13</f>
        <v>0.36455696401542842</v>
      </c>
    </row>
    <row r="16" spans="1:17" outlineLevel="1" x14ac:dyDescent="0.3">
      <c r="A16" s="387"/>
      <c r="B16" s="29" t="s">
        <v>29</v>
      </c>
      <c r="C16" s="78">
        <f>C14</f>
        <v>4146.1876569999995</v>
      </c>
      <c r="G16" s="19"/>
    </row>
    <row r="17" spans="1:17" outlineLevel="1" x14ac:dyDescent="0.3">
      <c r="A17" s="387"/>
      <c r="B17" s="15" t="s">
        <v>30</v>
      </c>
      <c r="C17" s="263">
        <f ca="1">Model!Q57</f>
        <v>0</v>
      </c>
      <c r="K17" s="18"/>
      <c r="L17" s="18"/>
      <c r="M17" s="18"/>
      <c r="N17" s="18"/>
    </row>
    <row r="18" spans="1:17" outlineLevel="1" x14ac:dyDescent="0.3">
      <c r="A18" s="387"/>
      <c r="B18" s="15" t="s">
        <v>31</v>
      </c>
      <c r="C18" s="263">
        <f ca="1">Model!Q62</f>
        <v>490.16307995346784</v>
      </c>
      <c r="K18" s="18"/>
      <c r="L18" s="18"/>
      <c r="M18" s="18"/>
      <c r="N18" s="18"/>
    </row>
    <row r="19" spans="1:17" outlineLevel="1" x14ac:dyDescent="0.3">
      <c r="A19" s="387"/>
      <c r="B19" s="29" t="s">
        <v>32</v>
      </c>
      <c r="C19" s="77">
        <f ca="1">SUM(C17:C18)</f>
        <v>490.16307995346784</v>
      </c>
      <c r="D19" s="22"/>
    </row>
    <row r="20" spans="1:17" outlineLevel="1" x14ac:dyDescent="0.3">
      <c r="A20" s="387"/>
      <c r="B20" s="15" t="s">
        <v>33</v>
      </c>
      <c r="C20" s="263">
        <f ca="1">Model!Q41</f>
        <v>32.833877599257598</v>
      </c>
      <c r="D20" s="22"/>
    </row>
    <row r="21" spans="1:17" outlineLevel="1" x14ac:dyDescent="0.3">
      <c r="A21" s="387"/>
      <c r="B21" s="15" t="s">
        <v>34</v>
      </c>
      <c r="C21" s="21">
        <v>0.7</v>
      </c>
    </row>
    <row r="22" spans="1:17" outlineLevel="1" x14ac:dyDescent="0.3">
      <c r="A22" s="387"/>
      <c r="B22" s="29" t="s">
        <v>35</v>
      </c>
      <c r="C22" s="77">
        <f ca="1">C19-C20-C21</f>
        <v>456.62920235421024</v>
      </c>
    </row>
    <row r="23" spans="1:17" outlineLevel="1" x14ac:dyDescent="0.3">
      <c r="A23" s="387"/>
      <c r="B23" s="15"/>
    </row>
    <row r="24" spans="1:17" ht="18" outlineLevel="1" x14ac:dyDescent="0.35">
      <c r="A24" s="387"/>
      <c r="B24" s="15" t="s">
        <v>36</v>
      </c>
      <c r="C24" s="27">
        <f ca="1">C22+C16</f>
        <v>4602.8168593542096</v>
      </c>
      <c r="E24" s="10" t="s">
        <v>96</v>
      </c>
      <c r="F24" s="10"/>
      <c r="G24" s="10"/>
      <c r="H24" s="10"/>
      <c r="I24" s="10"/>
      <c r="J24" s="10"/>
      <c r="K24" s="10"/>
      <c r="L24" s="10"/>
      <c r="M24" s="10"/>
      <c r="N24" s="10"/>
      <c r="O24" s="10"/>
      <c r="P24" s="10"/>
      <c r="Q24" s="10"/>
    </row>
    <row r="25" spans="1:17" outlineLevel="1" x14ac:dyDescent="0.3">
      <c r="A25" s="387"/>
      <c r="B25" s="15"/>
    </row>
    <row r="26" spans="1:17" outlineLevel="1" x14ac:dyDescent="0.3">
      <c r="A26" s="387"/>
      <c r="B26" s="15" t="s">
        <v>37</v>
      </c>
      <c r="C26" s="46">
        <v>99.309883999999997</v>
      </c>
      <c r="E26" s="12" t="s">
        <v>97</v>
      </c>
      <c r="F26" s="13"/>
      <c r="I26" s="12" t="s">
        <v>20</v>
      </c>
      <c r="J26" s="13"/>
      <c r="K26" s="13"/>
      <c r="L26" s="35" t="s">
        <v>98</v>
      </c>
      <c r="M26" s="36" t="s">
        <v>99</v>
      </c>
      <c r="O26" s="12" t="s">
        <v>100</v>
      </c>
      <c r="P26" s="13"/>
    </row>
    <row r="27" spans="1:17" outlineLevel="1" x14ac:dyDescent="0.3">
      <c r="A27" s="387"/>
      <c r="B27" s="15" t="s">
        <v>38</v>
      </c>
      <c r="C27" s="16">
        <v>41.75</v>
      </c>
      <c r="E27" s="31" t="s">
        <v>101</v>
      </c>
      <c r="F27" s="32">
        <v>46023</v>
      </c>
      <c r="I27" s="15" t="s">
        <v>102</v>
      </c>
      <c r="L27" s="38">
        <v>0.02</v>
      </c>
      <c r="M27" s="61">
        <f ca="1">L27*L9</f>
        <v>9.8032615990693568</v>
      </c>
      <c r="O27" s="32">
        <v>46112</v>
      </c>
      <c r="P27" s="32">
        <v>46387</v>
      </c>
    </row>
    <row r="28" spans="1:17" outlineLevel="1" x14ac:dyDescent="0.3">
      <c r="A28" s="387"/>
      <c r="B28" s="15" t="s">
        <v>39</v>
      </c>
      <c r="C28" s="16">
        <v>20.38</v>
      </c>
      <c r="E28" s="31" t="s">
        <v>103</v>
      </c>
      <c r="F28" s="32">
        <v>46022</v>
      </c>
      <c r="I28" s="15" t="s">
        <v>104</v>
      </c>
      <c r="M28" s="61">
        <f>SUM(G44:G46)</f>
        <v>49.325000000000003</v>
      </c>
      <c r="O28" s="37">
        <f>1-P28</f>
        <v>0.25</v>
      </c>
      <c r="P28" s="37">
        <f>YEARFRAC(O27,P27)</f>
        <v>0.75</v>
      </c>
    </row>
    <row r="29" spans="1:17" outlineLevel="1" x14ac:dyDescent="0.3">
      <c r="A29" s="387"/>
      <c r="B29" s="15" t="s">
        <v>40</v>
      </c>
      <c r="C29" s="17">
        <f>C27/C28-1</f>
        <v>1.0485770363101081</v>
      </c>
      <c r="E29" s="31" t="s">
        <v>105</v>
      </c>
      <c r="F29" s="32">
        <v>46112</v>
      </c>
      <c r="I29" s="15" t="s">
        <v>106</v>
      </c>
      <c r="L29" s="38">
        <v>0.02</v>
      </c>
      <c r="M29" s="61">
        <f>L29*C16</f>
        <v>82.923753139999988</v>
      </c>
    </row>
    <row r="30" spans="1:17" outlineLevel="1" x14ac:dyDescent="0.3">
      <c r="A30" s="387"/>
      <c r="E30" s="31" t="s">
        <v>107</v>
      </c>
      <c r="F30" s="33">
        <v>2026</v>
      </c>
      <c r="H30" s="29"/>
      <c r="I30" s="84" t="s">
        <v>108</v>
      </c>
      <c r="J30" s="47"/>
      <c r="K30" s="47"/>
      <c r="L30" s="47"/>
      <c r="M30" s="72">
        <f ca="1">SUM(M27:M29)</f>
        <v>142.05201473906936</v>
      </c>
    </row>
    <row r="31" spans="1:17" outlineLevel="1" x14ac:dyDescent="0.3">
      <c r="A31" s="387"/>
      <c r="B31" s="15" t="s">
        <v>109</v>
      </c>
      <c r="C31" s="19">
        <v>0.76</v>
      </c>
    </row>
    <row r="32" spans="1:17" outlineLevel="1" x14ac:dyDescent="0.3">
      <c r="A32" s="387"/>
      <c r="E32" s="31" t="s">
        <v>110</v>
      </c>
      <c r="F32" s="19">
        <v>365</v>
      </c>
    </row>
    <row r="33" spans="1:9" outlineLevel="1" x14ac:dyDescent="0.3">
      <c r="A33" s="387"/>
      <c r="E33" s="31" t="s">
        <v>111</v>
      </c>
      <c r="F33" s="34">
        <v>0.3</v>
      </c>
    </row>
    <row r="34" spans="1:9" outlineLevel="1" x14ac:dyDescent="0.3">
      <c r="A34" s="387"/>
      <c r="E34" s="31" t="s">
        <v>112</v>
      </c>
      <c r="F34" s="90">
        <f>-Model!J18/4</f>
        <v>32.219122063217057</v>
      </c>
    </row>
    <row r="35" spans="1:9" outlineLevel="1" x14ac:dyDescent="0.3">
      <c r="A35" s="387"/>
    </row>
    <row r="36" spans="1:9" outlineLevel="1" x14ac:dyDescent="0.3">
      <c r="A36" s="387"/>
      <c r="E36" s="31" t="s">
        <v>100</v>
      </c>
      <c r="F36" s="190">
        <f>YEARFRAC(F28,F29)</f>
        <v>0.25</v>
      </c>
    </row>
    <row r="37" spans="1:9" outlineLevel="1" x14ac:dyDescent="0.3">
      <c r="A37" s="387"/>
      <c r="E37" s="31" t="s">
        <v>113</v>
      </c>
      <c r="F37">
        <f>1-F36</f>
        <v>0.75</v>
      </c>
    </row>
    <row r="38" spans="1:9" x14ac:dyDescent="0.3">
      <c r="A38" s="387"/>
    </row>
    <row r="39" spans="1:9" ht="18" x14ac:dyDescent="0.35">
      <c r="A39" s="387" t="s">
        <v>93</v>
      </c>
      <c r="B39" s="10" t="s">
        <v>114</v>
      </c>
      <c r="C39" s="10"/>
      <c r="D39" s="10"/>
      <c r="E39" s="10"/>
      <c r="F39" s="10"/>
      <c r="G39" s="10"/>
      <c r="H39" s="10"/>
      <c r="I39" s="10"/>
    </row>
    <row r="40" spans="1:9" outlineLevel="1" x14ac:dyDescent="0.3"/>
    <row r="41" spans="1:9" outlineLevel="1" x14ac:dyDescent="0.3">
      <c r="C41" s="39"/>
      <c r="D41" s="40"/>
      <c r="E41" s="41"/>
      <c r="F41" s="42" t="s">
        <v>115</v>
      </c>
      <c r="G41" s="42" t="s">
        <v>115</v>
      </c>
      <c r="H41" s="42" t="s">
        <v>116</v>
      </c>
      <c r="I41" s="42" t="s">
        <v>117</v>
      </c>
    </row>
    <row r="42" spans="1:9" outlineLevel="1" x14ac:dyDescent="0.3">
      <c r="B42" s="12" t="s">
        <v>118</v>
      </c>
      <c r="C42" s="43" t="s">
        <v>9</v>
      </c>
      <c r="D42" s="43" t="s">
        <v>119</v>
      </c>
      <c r="E42" s="44" t="s">
        <v>120</v>
      </c>
      <c r="F42" s="44" t="s">
        <v>121</v>
      </c>
      <c r="G42" s="44" t="s">
        <v>122</v>
      </c>
      <c r="H42" s="44"/>
      <c r="I42" s="44" t="s">
        <v>123</v>
      </c>
    </row>
    <row r="43" spans="1:9" outlineLevel="1" x14ac:dyDescent="0.3">
      <c r="B43" t="s">
        <v>13</v>
      </c>
      <c r="C43" s="27">
        <f ca="1">F8</f>
        <v>0</v>
      </c>
      <c r="D43" s="17">
        <f t="shared" ref="D43:D48" ca="1" si="1">C43/$F$13</f>
        <v>0</v>
      </c>
      <c r="E43" s="64" t="s">
        <v>124</v>
      </c>
      <c r="F43" s="64" t="s">
        <v>124</v>
      </c>
      <c r="G43" s="64" t="s">
        <v>124</v>
      </c>
      <c r="H43" s="64" t="s">
        <v>124</v>
      </c>
      <c r="I43" s="64" t="s">
        <v>124</v>
      </c>
    </row>
    <row r="44" spans="1:9" outlineLevel="1" x14ac:dyDescent="0.3">
      <c r="B44" t="s">
        <v>125</v>
      </c>
      <c r="C44" s="27">
        <f>F9</f>
        <v>200</v>
      </c>
      <c r="D44" s="17">
        <f t="shared" ca="1" si="1"/>
        <v>4.1854990128062965E-2</v>
      </c>
      <c r="E44" s="64">
        <v>325</v>
      </c>
      <c r="F44" s="67">
        <v>1.7500000000000002E-2</v>
      </c>
      <c r="G44" s="68">
        <f>F44*C44</f>
        <v>3.5000000000000004</v>
      </c>
      <c r="H44" s="66">
        <v>8.9999999999999993E-3</v>
      </c>
      <c r="I44" s="71">
        <v>300</v>
      </c>
    </row>
    <row r="45" spans="1:9" outlineLevel="1" x14ac:dyDescent="0.3">
      <c r="B45" t="s">
        <v>126</v>
      </c>
      <c r="C45">
        <f>F10</f>
        <v>858</v>
      </c>
      <c r="D45" s="17">
        <f t="shared" ca="1" si="1"/>
        <v>0.17955790764939011</v>
      </c>
      <c r="E45" s="64" t="s">
        <v>124</v>
      </c>
      <c r="F45" s="67">
        <v>2.75E-2</v>
      </c>
      <c r="G45" s="68">
        <f>F45*C45</f>
        <v>23.594999999999999</v>
      </c>
      <c r="H45" s="64" t="s">
        <v>124</v>
      </c>
      <c r="I45" s="69">
        <v>325</v>
      </c>
    </row>
    <row r="46" spans="1:9" outlineLevel="1" x14ac:dyDescent="0.3">
      <c r="B46" t="s">
        <v>127</v>
      </c>
      <c r="C46">
        <f>F11</f>
        <v>684</v>
      </c>
      <c r="D46" s="17">
        <f t="shared" ca="1" si="1"/>
        <v>0.14314406623797532</v>
      </c>
      <c r="E46" s="64" t="s">
        <v>124</v>
      </c>
      <c r="F46" s="67">
        <v>3.2500000000000001E-2</v>
      </c>
      <c r="G46" s="68">
        <f>F46*C46</f>
        <v>22.23</v>
      </c>
      <c r="H46" s="64" t="s">
        <v>124</v>
      </c>
      <c r="I46" s="70">
        <v>275</v>
      </c>
    </row>
    <row r="47" spans="1:9" outlineLevel="1" x14ac:dyDescent="0.3">
      <c r="B47" t="s">
        <v>128</v>
      </c>
      <c r="C47" s="62">
        <f ca="1">F12</f>
        <v>3036.4027516925362</v>
      </c>
      <c r="D47" s="63">
        <f t="shared" ca="1" si="1"/>
        <v>0.63544303598457164</v>
      </c>
      <c r="E47" s="65" t="s">
        <v>124</v>
      </c>
      <c r="F47" s="65" t="s">
        <v>124</v>
      </c>
      <c r="G47" s="65" t="s">
        <v>124</v>
      </c>
      <c r="H47" s="65" t="s">
        <v>124</v>
      </c>
      <c r="I47" s="65" t="s">
        <v>124</v>
      </c>
    </row>
    <row r="48" spans="1:9" outlineLevel="1" x14ac:dyDescent="0.3">
      <c r="C48" s="27">
        <f ca="1">SUM(C43:C47)</f>
        <v>4778.4027516925362</v>
      </c>
      <c r="D48" s="17">
        <f t="shared" ca="1" si="1"/>
        <v>1</v>
      </c>
    </row>
    <row r="49" spans="2:11" outlineLevel="1" x14ac:dyDescent="0.3"/>
    <row r="50" spans="2:11" outlineLevel="1" x14ac:dyDescent="0.3">
      <c r="B50" s="11"/>
      <c r="C50" s="11"/>
      <c r="D50" s="11" t="s">
        <v>129</v>
      </c>
      <c r="E50" s="12" t="s">
        <v>130</v>
      </c>
      <c r="F50" s="12"/>
      <c r="G50" s="12"/>
      <c r="H50" s="12"/>
      <c r="I50" s="12"/>
      <c r="J50" s="12"/>
      <c r="K50" s="12"/>
    </row>
    <row r="51" spans="2:11" outlineLevel="1" x14ac:dyDescent="0.3">
      <c r="B51" s="12" t="s">
        <v>131</v>
      </c>
      <c r="C51" s="12"/>
      <c r="D51" s="12" t="s">
        <v>132</v>
      </c>
      <c r="E51" s="12" t="s">
        <v>133</v>
      </c>
      <c r="F51" s="12" t="s">
        <v>134</v>
      </c>
      <c r="G51" s="12" t="s">
        <v>135</v>
      </c>
      <c r="H51" s="12" t="s">
        <v>136</v>
      </c>
      <c r="I51" s="12" t="s">
        <v>137</v>
      </c>
      <c r="J51" s="12" t="s">
        <v>138</v>
      </c>
      <c r="K51" s="12" t="s">
        <v>139</v>
      </c>
    </row>
    <row r="52" spans="2:11" outlineLevel="1" x14ac:dyDescent="0.3">
      <c r="B52" t="s">
        <v>140</v>
      </c>
      <c r="D52" s="64" t="s">
        <v>124</v>
      </c>
      <c r="E52" s="64" t="s">
        <v>124</v>
      </c>
      <c r="F52" s="64" t="s">
        <v>124</v>
      </c>
      <c r="G52" s="64" t="s">
        <v>124</v>
      </c>
      <c r="H52" s="64" t="s">
        <v>124</v>
      </c>
      <c r="I52" s="64" t="s">
        <v>124</v>
      </c>
      <c r="J52" s="64" t="s">
        <v>124</v>
      </c>
      <c r="K52" s="64" t="s">
        <v>124</v>
      </c>
    </row>
    <row r="53" spans="2:11" outlineLevel="1" x14ac:dyDescent="0.3">
      <c r="B53" t="s">
        <v>126</v>
      </c>
      <c r="D53" s="74">
        <v>0.5</v>
      </c>
      <c r="E53" s="73">
        <v>0</v>
      </c>
      <c r="F53" s="73">
        <v>0</v>
      </c>
      <c r="G53" s="73">
        <v>0</v>
      </c>
      <c r="H53" s="73">
        <v>0</v>
      </c>
      <c r="I53" s="73">
        <v>0</v>
      </c>
      <c r="J53" s="73">
        <v>0</v>
      </c>
      <c r="K53" s="73">
        <v>0</v>
      </c>
    </row>
    <row r="54" spans="2:11" outlineLevel="1" x14ac:dyDescent="0.3">
      <c r="B54" t="s">
        <v>127</v>
      </c>
      <c r="D54" s="74">
        <v>1</v>
      </c>
      <c r="E54" s="73">
        <v>0.01</v>
      </c>
      <c r="F54" s="73">
        <v>0.01</v>
      </c>
      <c r="G54" s="73">
        <v>0.01</v>
      </c>
      <c r="H54" s="73">
        <v>0.01</v>
      </c>
      <c r="I54" s="73">
        <v>0.01</v>
      </c>
      <c r="J54" s="73">
        <v>0.01</v>
      </c>
      <c r="K54" s="73">
        <v>0.01</v>
      </c>
    </row>
    <row r="258" spans="2:2" x14ac:dyDescent="0.3">
      <c r="B258" t="s">
        <v>141</v>
      </c>
    </row>
    <row r="259" spans="2:2" x14ac:dyDescent="0.3">
      <c r="B259" t="s">
        <v>142</v>
      </c>
    </row>
    <row r="260" spans="2:2" x14ac:dyDescent="0.3">
      <c r="B260" s="191" t="s">
        <v>143</v>
      </c>
    </row>
    <row r="262" spans="2:2" x14ac:dyDescent="0.3">
      <c r="B262" t="s">
        <v>144</v>
      </c>
    </row>
    <row r="263" spans="2:2" x14ac:dyDescent="0.3">
      <c r="B263" t="s">
        <v>76</v>
      </c>
    </row>
  </sheetData>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1943F-13C1-4199-99A5-25F25B9B63E7}">
  <dimension ref="A3:AN195"/>
  <sheetViews>
    <sheetView showGridLines="0" zoomScale="85" zoomScaleNormal="85" workbookViewId="0">
      <selection activeCell="B3" sqref="B3"/>
    </sheetView>
  </sheetViews>
  <sheetFormatPr defaultColWidth="15.6640625" defaultRowHeight="14.4" x14ac:dyDescent="0.3"/>
  <cols>
    <col min="1" max="1" width="4.6640625" customWidth="1"/>
  </cols>
  <sheetData>
    <row r="3" spans="1:40" s="8" customFormat="1" ht="21" x14ac:dyDescent="0.4">
      <c r="A3" t="s">
        <v>3</v>
      </c>
      <c r="B3" s="9" t="s">
        <v>145</v>
      </c>
    </row>
    <row r="5" spans="1:40" x14ac:dyDescent="0.3">
      <c r="B5" t="s">
        <v>146</v>
      </c>
      <c r="C5" s="130" t="str">
        <f>CHOOSE(D5,"Bull", "BASE", "Bear")</f>
        <v>BASE</v>
      </c>
      <c r="D5" s="311">
        <v>2</v>
      </c>
    </row>
    <row r="8" spans="1:40" x14ac:dyDescent="0.3">
      <c r="B8" s="203"/>
      <c r="C8" s="203"/>
      <c r="D8" s="203"/>
      <c r="E8" s="203"/>
      <c r="F8" s="203"/>
      <c r="G8" s="203"/>
      <c r="H8" s="203"/>
      <c r="I8" s="203"/>
      <c r="J8" s="203"/>
      <c r="K8" s="323" t="s">
        <v>147</v>
      </c>
      <c r="L8" s="324"/>
      <c r="M8" s="324"/>
      <c r="N8" s="323"/>
      <c r="O8" s="324"/>
      <c r="P8" s="324"/>
      <c r="Q8" s="324"/>
    </row>
    <row r="9" spans="1:40" x14ac:dyDescent="0.3">
      <c r="B9" s="203"/>
      <c r="C9" s="203"/>
      <c r="D9" s="203"/>
      <c r="E9" s="203"/>
      <c r="F9" s="203"/>
      <c r="G9" s="204">
        <v>2021</v>
      </c>
      <c r="H9" s="204">
        <v>2022</v>
      </c>
      <c r="I9" s="204">
        <v>2023</v>
      </c>
      <c r="J9" s="204">
        <v>2024</v>
      </c>
      <c r="K9" s="79">
        <v>2025</v>
      </c>
      <c r="L9" s="79">
        <v>2026</v>
      </c>
      <c r="M9" s="79">
        <v>2027</v>
      </c>
      <c r="N9" s="79">
        <v>2028</v>
      </c>
      <c r="O9" s="79">
        <v>2029</v>
      </c>
      <c r="P9" s="79">
        <v>2030</v>
      </c>
      <c r="Q9" s="79">
        <v>2031</v>
      </c>
    </row>
    <row r="11" spans="1:40" x14ac:dyDescent="0.3">
      <c r="B11" s="11"/>
      <c r="F11" s="11"/>
      <c r="I11" s="11"/>
    </row>
    <row r="12" spans="1:40" ht="15" thickBot="1" x14ac:dyDescent="0.35">
      <c r="B12" s="11" t="s">
        <v>148</v>
      </c>
      <c r="G12" s="83">
        <v>2021</v>
      </c>
      <c r="H12" s="83">
        <v>2022</v>
      </c>
      <c r="I12" s="83">
        <v>2023</v>
      </c>
      <c r="J12" s="83">
        <v>2024</v>
      </c>
      <c r="K12" s="80">
        <v>2025</v>
      </c>
      <c r="L12" s="80">
        <v>2026</v>
      </c>
      <c r="M12" s="80">
        <v>2027</v>
      </c>
      <c r="N12" s="80">
        <v>2028</v>
      </c>
      <c r="O12" s="80">
        <v>2029</v>
      </c>
      <c r="P12" s="80">
        <v>2030</v>
      </c>
      <c r="Q12" s="80">
        <v>2031</v>
      </c>
    </row>
    <row r="14" spans="1:40" x14ac:dyDescent="0.3">
      <c r="B14" s="11" t="s">
        <v>149</v>
      </c>
      <c r="G14" s="113"/>
      <c r="H14" s="135">
        <f>Model!G126</f>
        <v>0.30440977766859123</v>
      </c>
      <c r="I14" s="135">
        <f>Model!H126</f>
        <v>-0.18118125659183371</v>
      </c>
      <c r="J14" s="135">
        <f>J203</f>
        <v>0</v>
      </c>
      <c r="K14" s="120">
        <f>CHOOSE($D$5,K15,K16,K17)</f>
        <v>7.0000000000000007E-2</v>
      </c>
      <c r="L14" s="120">
        <f>CHOOSE($D$5,L15,L16,L17)</f>
        <v>6.6666666666666666E-2</v>
      </c>
      <c r="M14" s="120">
        <f>CHOOSE($D$5,M15,N16,M17)</f>
        <v>0.06</v>
      </c>
      <c r="N14" s="120">
        <f>CHOOSE($D$5,N15,O16,N17)</f>
        <v>0.06</v>
      </c>
      <c r="O14" s="120">
        <f>CHOOSE($D$5,O15,O16,O17)</f>
        <v>0.06</v>
      </c>
      <c r="P14" s="120">
        <f>CHOOSE($D$5,P15,P16,P17)</f>
        <v>0.06</v>
      </c>
      <c r="Q14" s="121">
        <f>CHOOSE($D$5,Q15,Q16,Q17)</f>
        <v>0.06</v>
      </c>
      <c r="AN14" s="11"/>
    </row>
    <row r="15" spans="1:40" x14ac:dyDescent="0.3">
      <c r="B15" s="15" t="s">
        <v>150</v>
      </c>
      <c r="D15" s="337">
        <v>0.01</v>
      </c>
      <c r="G15" s="109"/>
      <c r="H15" s="110"/>
      <c r="I15" s="110"/>
      <c r="J15" s="110"/>
      <c r="K15" s="115">
        <f>K16+$D15</f>
        <v>0.08</v>
      </c>
      <c r="L15" s="115">
        <f>L16+$D15</f>
        <v>7.6666666666666661E-2</v>
      </c>
      <c r="M15" s="115">
        <f>N16+$D15</f>
        <v>6.9999999999999993E-2</v>
      </c>
      <c r="N15" s="115">
        <f>O16+$D15</f>
        <v>6.9999999999999993E-2</v>
      </c>
      <c r="O15" s="115">
        <f>O16+$D15</f>
        <v>6.9999999999999993E-2</v>
      </c>
      <c r="P15" s="115">
        <f>P16+$D15</f>
        <v>6.9999999999999993E-2</v>
      </c>
      <c r="Q15" s="132">
        <f>Q16+$D15</f>
        <v>6.9999999999999993E-2</v>
      </c>
    </row>
    <row r="16" spans="1:40" x14ac:dyDescent="0.3">
      <c r="B16" s="15" t="s">
        <v>151</v>
      </c>
      <c r="D16" s="338">
        <v>0</v>
      </c>
      <c r="G16" s="109"/>
      <c r="H16" s="110"/>
      <c r="I16" s="110"/>
      <c r="J16" s="110"/>
      <c r="K16" s="114">
        <v>7.0000000000000007E-2</v>
      </c>
      <c r="L16" s="126">
        <f t="shared" ref="L16:M16" si="0">($N16-$K16)/3+K16</f>
        <v>6.6666666666666666E-2</v>
      </c>
      <c r="M16" s="126">
        <f t="shared" si="0"/>
        <v>6.3333333333333325E-2</v>
      </c>
      <c r="N16" s="114">
        <v>0.06</v>
      </c>
      <c r="O16" s="116">
        <f>N16</f>
        <v>0.06</v>
      </c>
      <c r="P16" s="116">
        <f>O16</f>
        <v>0.06</v>
      </c>
      <c r="Q16" s="117">
        <f>P16</f>
        <v>0.06</v>
      </c>
      <c r="AN16" s="11"/>
    </row>
    <row r="17" spans="2:40" x14ac:dyDescent="0.3">
      <c r="B17" s="15" t="s">
        <v>152</v>
      </c>
      <c r="D17" s="339">
        <v>-0.01</v>
      </c>
      <c r="G17" s="111"/>
      <c r="H17" s="112"/>
      <c r="I17" s="112"/>
      <c r="J17" s="112"/>
      <c r="K17" s="118">
        <f>K16+$D17</f>
        <v>6.0000000000000005E-2</v>
      </c>
      <c r="L17" s="118">
        <f>L16+$D17</f>
        <v>5.6666666666666664E-2</v>
      </c>
      <c r="M17" s="118">
        <f>N16+$D17</f>
        <v>4.9999999999999996E-2</v>
      </c>
      <c r="N17" s="118">
        <f>O16+$D17</f>
        <v>4.9999999999999996E-2</v>
      </c>
      <c r="O17" s="118">
        <f>O16+$D17</f>
        <v>4.9999999999999996E-2</v>
      </c>
      <c r="P17" s="118">
        <f>P16+$D17</f>
        <v>4.9999999999999996E-2</v>
      </c>
      <c r="Q17" s="119">
        <f>Q16+$D17</f>
        <v>4.9999999999999996E-2</v>
      </c>
      <c r="AN17" s="11"/>
    </row>
    <row r="18" spans="2:40" x14ac:dyDescent="0.3">
      <c r="D18" s="19"/>
      <c r="AN18" s="11"/>
    </row>
    <row r="19" spans="2:40" x14ac:dyDescent="0.3">
      <c r="B19" s="11" t="s">
        <v>153</v>
      </c>
      <c r="D19" s="19"/>
      <c r="G19" s="113"/>
      <c r="H19" s="135">
        <f>Model!G128</f>
        <v>0.8547076526225279</v>
      </c>
      <c r="I19" s="135">
        <f>Model!H128</f>
        <v>7.7769149638968749E-3</v>
      </c>
      <c r="J19" s="135">
        <v>-0.03</v>
      </c>
      <c r="K19" s="120">
        <f t="shared" ref="K19:Q19" si="1">CHOOSE($D$5,K20,K21,K22)</f>
        <v>0.01</v>
      </c>
      <c r="L19" s="120">
        <f t="shared" si="1"/>
        <v>2.6666666666666665E-2</v>
      </c>
      <c r="M19" s="120">
        <f t="shared" si="1"/>
        <v>4.3333333333333335E-2</v>
      </c>
      <c r="N19" s="120">
        <f t="shared" si="1"/>
        <v>0.06</v>
      </c>
      <c r="O19" s="120">
        <f t="shared" si="1"/>
        <v>0.06</v>
      </c>
      <c r="P19" s="120">
        <f t="shared" si="1"/>
        <v>0.06</v>
      </c>
      <c r="Q19" s="121">
        <f t="shared" si="1"/>
        <v>0.06</v>
      </c>
      <c r="AN19" s="11"/>
    </row>
    <row r="20" spans="2:40" x14ac:dyDescent="0.3">
      <c r="B20" s="15" t="s">
        <v>150</v>
      </c>
      <c r="D20" s="337">
        <v>0.01</v>
      </c>
      <c r="G20" s="109"/>
      <c r="H20" s="110"/>
      <c r="I20" s="110"/>
      <c r="J20" s="110"/>
      <c r="K20" s="115">
        <f t="shared" ref="K20:Q20" si="2">K21+$D20</f>
        <v>0.02</v>
      </c>
      <c r="L20" s="116">
        <f t="shared" si="2"/>
        <v>3.6666666666666667E-2</v>
      </c>
      <c r="M20" s="116">
        <f t="shared" si="2"/>
        <v>5.3333333333333337E-2</v>
      </c>
      <c r="N20" s="116">
        <f t="shared" si="2"/>
        <v>6.9999999999999993E-2</v>
      </c>
      <c r="O20" s="116">
        <f t="shared" si="2"/>
        <v>6.9999999999999993E-2</v>
      </c>
      <c r="P20" s="116">
        <f t="shared" si="2"/>
        <v>6.9999999999999993E-2</v>
      </c>
      <c r="Q20" s="117">
        <f t="shared" si="2"/>
        <v>6.9999999999999993E-2</v>
      </c>
      <c r="AN20" s="11"/>
    </row>
    <row r="21" spans="2:40" x14ac:dyDescent="0.3">
      <c r="B21" s="15" t="s">
        <v>151</v>
      </c>
      <c r="D21" s="338">
        <v>0</v>
      </c>
      <c r="G21" s="109"/>
      <c r="H21" s="110"/>
      <c r="I21" s="110"/>
      <c r="J21" s="110"/>
      <c r="K21" s="114">
        <v>0.01</v>
      </c>
      <c r="L21" s="126">
        <f>($N21-$K21)/3+K21</f>
        <v>2.6666666666666665E-2</v>
      </c>
      <c r="M21" s="126">
        <f>($N21-$K21)/3+L21</f>
        <v>4.3333333333333335E-2</v>
      </c>
      <c r="N21" s="114">
        <v>0.06</v>
      </c>
      <c r="O21" s="116">
        <f>N21</f>
        <v>0.06</v>
      </c>
      <c r="P21" s="116">
        <f>O21</f>
        <v>0.06</v>
      </c>
      <c r="Q21" s="117">
        <f>P21</f>
        <v>0.06</v>
      </c>
      <c r="AN21" s="11"/>
    </row>
    <row r="22" spans="2:40" x14ac:dyDescent="0.3">
      <c r="B22" s="15" t="s">
        <v>152</v>
      </c>
      <c r="D22" s="339">
        <v>-0.01</v>
      </c>
      <c r="G22" s="111"/>
      <c r="H22" s="112"/>
      <c r="I22" s="112"/>
      <c r="J22" s="112"/>
      <c r="K22" s="118">
        <f t="shared" ref="K22:Q22" si="3">K21+$D22</f>
        <v>0</v>
      </c>
      <c r="L22" s="118">
        <f t="shared" si="3"/>
        <v>1.6666666666666663E-2</v>
      </c>
      <c r="M22" s="118">
        <f t="shared" si="3"/>
        <v>3.3333333333333333E-2</v>
      </c>
      <c r="N22" s="118">
        <f t="shared" si="3"/>
        <v>4.9999999999999996E-2</v>
      </c>
      <c r="O22" s="118">
        <f t="shared" si="3"/>
        <v>4.9999999999999996E-2</v>
      </c>
      <c r="P22" s="118">
        <f t="shared" si="3"/>
        <v>4.9999999999999996E-2</v>
      </c>
      <c r="Q22" s="119">
        <f t="shared" si="3"/>
        <v>4.9999999999999996E-2</v>
      </c>
    </row>
    <row r="23" spans="2:40" x14ac:dyDescent="0.3">
      <c r="D23" s="19"/>
    </row>
    <row r="24" spans="2:40" x14ac:dyDescent="0.3">
      <c r="B24" s="11" t="s">
        <v>154</v>
      </c>
      <c r="D24" s="19"/>
      <c r="G24" s="113"/>
      <c r="H24" s="135">
        <f>Model!G130</f>
        <v>4.6245342505015774E-2</v>
      </c>
      <c r="I24" s="135">
        <f>Model!H130</f>
        <v>0.58801210842795903</v>
      </c>
      <c r="J24" s="135">
        <v>-0.06</v>
      </c>
      <c r="K24" s="120">
        <f t="shared" ref="K24:Q24" si="4">CHOOSE($D$5,K25,K26,K27)</f>
        <v>-0.15</v>
      </c>
      <c r="L24" s="120">
        <f t="shared" si="4"/>
        <v>-7.6666666666666661E-2</v>
      </c>
      <c r="M24" s="120">
        <f t="shared" si="4"/>
        <v>-3.333333333333327E-3</v>
      </c>
      <c r="N24" s="120">
        <f t="shared" si="4"/>
        <v>7.0000000000000007E-2</v>
      </c>
      <c r="O24" s="120">
        <f t="shared" si="4"/>
        <v>7.0000000000000007E-2</v>
      </c>
      <c r="P24" s="120">
        <f t="shared" si="4"/>
        <v>7.0000000000000007E-2</v>
      </c>
      <c r="Q24" s="121">
        <f t="shared" si="4"/>
        <v>7.0000000000000007E-2</v>
      </c>
    </row>
    <row r="25" spans="2:40" x14ac:dyDescent="0.3">
      <c r="B25" s="15" t="s">
        <v>150</v>
      </c>
      <c r="D25" s="337">
        <v>0.01</v>
      </c>
      <c r="G25" s="109"/>
      <c r="H25" s="110"/>
      <c r="I25" s="110"/>
      <c r="J25" s="110"/>
      <c r="K25" s="115">
        <f t="shared" ref="K25:Q25" si="5">K26+$D25</f>
        <v>-0.13999999999999999</v>
      </c>
      <c r="L25" s="116">
        <f t="shared" si="5"/>
        <v>-6.6666666666666666E-2</v>
      </c>
      <c r="M25" s="116">
        <f t="shared" si="5"/>
        <v>6.6666666666666732E-3</v>
      </c>
      <c r="N25" s="116">
        <f t="shared" si="5"/>
        <v>0.08</v>
      </c>
      <c r="O25" s="116">
        <f t="shared" si="5"/>
        <v>0.08</v>
      </c>
      <c r="P25" s="116">
        <f t="shared" si="5"/>
        <v>0.08</v>
      </c>
      <c r="Q25" s="117">
        <f t="shared" si="5"/>
        <v>0.08</v>
      </c>
    </row>
    <row r="26" spans="2:40" x14ac:dyDescent="0.3">
      <c r="B26" s="15" t="s">
        <v>151</v>
      </c>
      <c r="D26" s="338">
        <v>0</v>
      </c>
      <c r="G26" s="109"/>
      <c r="H26" s="110"/>
      <c r="I26" s="110"/>
      <c r="J26" s="110"/>
      <c r="K26" s="114">
        <v>-0.15</v>
      </c>
      <c r="L26" s="126">
        <f t="shared" ref="L26:M26" si="6">($N26-$K26)/3+K26</f>
        <v>-7.6666666666666661E-2</v>
      </c>
      <c r="M26" s="126">
        <f t="shared" si="6"/>
        <v>-3.333333333333327E-3</v>
      </c>
      <c r="N26" s="114">
        <v>7.0000000000000007E-2</v>
      </c>
      <c r="O26" s="116">
        <f>N26</f>
        <v>7.0000000000000007E-2</v>
      </c>
      <c r="P26" s="116">
        <f>O26</f>
        <v>7.0000000000000007E-2</v>
      </c>
      <c r="Q26" s="117">
        <f>P26</f>
        <v>7.0000000000000007E-2</v>
      </c>
    </row>
    <row r="27" spans="2:40" x14ac:dyDescent="0.3">
      <c r="B27" s="15" t="s">
        <v>152</v>
      </c>
      <c r="D27" s="339">
        <v>-0.01</v>
      </c>
      <c r="G27" s="111"/>
      <c r="H27" s="112"/>
      <c r="I27" s="112"/>
      <c r="J27" s="112"/>
      <c r="K27" s="118">
        <f t="shared" ref="K27:Q27" si="7">K26+$D27</f>
        <v>-0.16</v>
      </c>
      <c r="L27" s="118">
        <f t="shared" si="7"/>
        <v>-8.6666666666666656E-2</v>
      </c>
      <c r="M27" s="118">
        <f t="shared" si="7"/>
        <v>-1.3333333333333327E-2</v>
      </c>
      <c r="N27" s="118">
        <f t="shared" si="7"/>
        <v>6.0000000000000005E-2</v>
      </c>
      <c r="O27" s="118">
        <f t="shared" si="7"/>
        <v>6.0000000000000005E-2</v>
      </c>
      <c r="P27" s="118">
        <f t="shared" si="7"/>
        <v>6.0000000000000005E-2</v>
      </c>
      <c r="Q27" s="119">
        <f t="shared" si="7"/>
        <v>6.0000000000000005E-2</v>
      </c>
    </row>
    <row r="28" spans="2:40" x14ac:dyDescent="0.3">
      <c r="D28" s="19"/>
    </row>
    <row r="29" spans="2:40" x14ac:dyDescent="0.3">
      <c r="B29" s="11" t="s">
        <v>155</v>
      </c>
      <c r="D29" s="19"/>
      <c r="G29" s="113"/>
      <c r="H29" s="135">
        <f>Model!G132</f>
        <v>0.14135855546001719</v>
      </c>
      <c r="I29" s="135">
        <f>Model!H132</f>
        <v>0.21306480504913528</v>
      </c>
      <c r="J29" s="135">
        <v>-0.04</v>
      </c>
      <c r="K29" s="124">
        <f>CHOOSE($D$5,K30,K31,K32)</f>
        <v>7.0000000000000007E-2</v>
      </c>
      <c r="L29" s="124">
        <f>CHOOSE($D$5,L30,L31,L32)</f>
        <v>6.5000000000000002E-2</v>
      </c>
      <c r="M29" s="124">
        <f>CHOOSE($D$5,M30,N31,M32)</f>
        <v>5.5E-2</v>
      </c>
      <c r="N29" s="124">
        <f>CHOOSE($D$5,N30,O31,N32)</f>
        <v>5.5E-2</v>
      </c>
      <c r="O29" s="124">
        <f>CHOOSE($D$5,O30,O31,O32)</f>
        <v>5.5E-2</v>
      </c>
      <c r="P29" s="124">
        <f>CHOOSE($D$5,P30,P31,P32)</f>
        <v>5.5E-2</v>
      </c>
      <c r="Q29" s="125">
        <f>CHOOSE($D$5,Q30,Q31,Q32)</f>
        <v>5.5E-2</v>
      </c>
    </row>
    <row r="30" spans="2:40" x14ac:dyDescent="0.3">
      <c r="B30" s="15" t="s">
        <v>150</v>
      </c>
      <c r="D30" s="340">
        <v>5.0000000000000001E-3</v>
      </c>
      <c r="G30" s="109"/>
      <c r="H30" s="110"/>
      <c r="I30" s="110"/>
      <c r="J30" s="110"/>
      <c r="K30" s="123">
        <f>K31+$D30</f>
        <v>7.5000000000000011E-2</v>
      </c>
      <c r="L30" s="123">
        <f t="shared" ref="L30:N30" si="8">L31+$D30</f>
        <v>7.0000000000000007E-2</v>
      </c>
      <c r="M30" s="123">
        <f t="shared" si="8"/>
        <v>6.5000000000000002E-2</v>
      </c>
      <c r="N30" s="123">
        <f t="shared" si="8"/>
        <v>0.06</v>
      </c>
      <c r="O30" s="126">
        <f>O31+$D30</f>
        <v>0.06</v>
      </c>
      <c r="P30" s="126">
        <f>P31+$D30</f>
        <v>0.06</v>
      </c>
      <c r="Q30" s="127">
        <f>Q31+$D30</f>
        <v>0.06</v>
      </c>
    </row>
    <row r="31" spans="2:40" x14ac:dyDescent="0.3">
      <c r="B31" s="15" t="s">
        <v>151</v>
      </c>
      <c r="D31" s="338">
        <v>0</v>
      </c>
      <c r="G31" s="109"/>
      <c r="H31" s="110"/>
      <c r="I31" s="110"/>
      <c r="J31" s="110"/>
      <c r="K31" s="122">
        <v>7.0000000000000007E-2</v>
      </c>
      <c r="L31" s="126">
        <f t="shared" ref="L31:M31" si="9">($N31-$K31)/3+K31</f>
        <v>6.5000000000000002E-2</v>
      </c>
      <c r="M31" s="126">
        <f t="shared" si="9"/>
        <v>0.06</v>
      </c>
      <c r="N31" s="122">
        <v>5.5E-2</v>
      </c>
      <c r="O31" s="126">
        <f>N31</f>
        <v>5.5E-2</v>
      </c>
      <c r="P31" s="126">
        <f>O31</f>
        <v>5.5E-2</v>
      </c>
      <c r="Q31" s="127">
        <f>P31</f>
        <v>5.5E-2</v>
      </c>
    </row>
    <row r="32" spans="2:40" x14ac:dyDescent="0.3">
      <c r="B32" s="15" t="s">
        <v>152</v>
      </c>
      <c r="D32" s="341">
        <v>-5.0000000000000001E-3</v>
      </c>
      <c r="G32" s="111"/>
      <c r="H32" s="112"/>
      <c r="I32" s="112"/>
      <c r="J32" s="112"/>
      <c r="K32" s="128">
        <f>K31+$D32</f>
        <v>6.5000000000000002E-2</v>
      </c>
      <c r="L32" s="128">
        <f t="shared" ref="L32:N32" si="10">L31+$D32</f>
        <v>6.0000000000000005E-2</v>
      </c>
      <c r="M32" s="128">
        <f t="shared" si="10"/>
        <v>5.5E-2</v>
      </c>
      <c r="N32" s="128">
        <f t="shared" si="10"/>
        <v>0.05</v>
      </c>
      <c r="O32" s="128">
        <f>O31+$D32</f>
        <v>0.05</v>
      </c>
      <c r="P32" s="128">
        <f>P31+$D32</f>
        <v>0.05</v>
      </c>
      <c r="Q32" s="129">
        <f>Q31+$D32</f>
        <v>0.05</v>
      </c>
    </row>
    <row r="33" spans="2:17" x14ac:dyDescent="0.3">
      <c r="D33" s="19"/>
    </row>
    <row r="34" spans="2:17" x14ac:dyDescent="0.3">
      <c r="B34" s="11" t="s">
        <v>156</v>
      </c>
      <c r="D34" s="19"/>
      <c r="G34" s="113"/>
      <c r="H34" s="135">
        <f>Model!G134</f>
        <v>0.2364717684150186</v>
      </c>
      <c r="I34" s="135">
        <f>Model!H134</f>
        <v>-0.16018590419675238</v>
      </c>
      <c r="J34" s="135">
        <f>K187</f>
        <v>0</v>
      </c>
      <c r="K34" s="120">
        <f>CHOOSE($D$5,K35,K36,K37)</f>
        <v>-0.1</v>
      </c>
      <c r="L34" s="120">
        <f>CHOOSE($D$5,L35,L36,L37)</f>
        <v>-4.9999999999999996E-2</v>
      </c>
      <c r="M34" s="120">
        <f>CHOOSE($D$5,M35,N36,M37)</f>
        <v>0.05</v>
      </c>
      <c r="N34" s="120">
        <f>CHOOSE($D$5,N35,O36,N37)</f>
        <v>0.05</v>
      </c>
      <c r="O34" s="120">
        <f>CHOOSE($D$5,O35,O36,O37)</f>
        <v>0.05</v>
      </c>
      <c r="P34" s="120">
        <f>CHOOSE($D$5,P35,P36,P37)</f>
        <v>0.05</v>
      </c>
      <c r="Q34" s="121">
        <f>CHOOSE($D$5,Q35,Q36,Q37)</f>
        <v>0.05</v>
      </c>
    </row>
    <row r="35" spans="2:17" x14ac:dyDescent="0.3">
      <c r="B35" s="15" t="s">
        <v>150</v>
      </c>
      <c r="D35" s="340">
        <v>5.0000000000000001E-3</v>
      </c>
      <c r="G35" s="109"/>
      <c r="H35" s="110"/>
      <c r="I35" s="110"/>
      <c r="J35" s="110"/>
      <c r="K35" s="115">
        <f>K36+$D35</f>
        <v>-9.5000000000000001E-2</v>
      </c>
      <c r="L35" s="115">
        <f t="shared" ref="L35:N35" si="11">L36+$D35</f>
        <v>-4.4999999999999998E-2</v>
      </c>
      <c r="M35" s="115">
        <f t="shared" si="11"/>
        <v>5.0000000000000001E-3</v>
      </c>
      <c r="N35" s="115">
        <f t="shared" si="11"/>
        <v>5.5E-2</v>
      </c>
      <c r="O35" s="116">
        <f>O36+$D35</f>
        <v>5.5E-2</v>
      </c>
      <c r="P35" s="116">
        <f>P36+$D35</f>
        <v>5.5E-2</v>
      </c>
      <c r="Q35" s="117">
        <f>Q36+$D35</f>
        <v>5.5E-2</v>
      </c>
    </row>
    <row r="36" spans="2:17" x14ac:dyDescent="0.3">
      <c r="B36" s="15" t="s">
        <v>151</v>
      </c>
      <c r="D36" s="338">
        <v>0</v>
      </c>
      <c r="G36" s="109"/>
      <c r="H36" s="110"/>
      <c r="I36" s="110"/>
      <c r="J36" s="110"/>
      <c r="K36" s="114">
        <v>-0.1</v>
      </c>
      <c r="L36" s="126">
        <f t="shared" ref="L36:M36" si="12">($N36-$K36)/3+K36</f>
        <v>-4.9999999999999996E-2</v>
      </c>
      <c r="M36" s="126">
        <f t="shared" si="12"/>
        <v>0</v>
      </c>
      <c r="N36" s="114">
        <v>0.05</v>
      </c>
      <c r="O36" s="116">
        <f>N36</f>
        <v>0.05</v>
      </c>
      <c r="P36" s="116">
        <f t="shared" ref="P36:Q36" si="13">O36</f>
        <v>0.05</v>
      </c>
      <c r="Q36" s="117">
        <f t="shared" si="13"/>
        <v>0.05</v>
      </c>
    </row>
    <row r="37" spans="2:17" x14ac:dyDescent="0.3">
      <c r="B37" s="15" t="s">
        <v>152</v>
      </c>
      <c r="D37" s="341">
        <v>-5.0000000000000001E-3</v>
      </c>
      <c r="G37" s="111"/>
      <c r="H37" s="112"/>
      <c r="I37" s="112"/>
      <c r="J37" s="112"/>
      <c r="K37" s="118">
        <f>K36+$D37</f>
        <v>-0.10500000000000001</v>
      </c>
      <c r="L37" s="118">
        <f t="shared" ref="L37:M37" si="14">L36+$D37</f>
        <v>-5.4999999999999993E-2</v>
      </c>
      <c r="M37" s="118">
        <f t="shared" si="14"/>
        <v>-5.0000000000000001E-3</v>
      </c>
      <c r="N37" s="118">
        <f>N36+$D37</f>
        <v>4.5000000000000005E-2</v>
      </c>
      <c r="O37" s="118">
        <f>O36+$D37</f>
        <v>4.5000000000000005E-2</v>
      </c>
      <c r="P37" s="118">
        <f>P36+$D37</f>
        <v>4.5000000000000005E-2</v>
      </c>
      <c r="Q37" s="119">
        <f>Q36+$D37</f>
        <v>4.5000000000000005E-2</v>
      </c>
    </row>
    <row r="38" spans="2:17" x14ac:dyDescent="0.3">
      <c r="D38" s="19"/>
    </row>
    <row r="39" spans="2:17" x14ac:dyDescent="0.3">
      <c r="B39" s="11" t="s">
        <v>157</v>
      </c>
      <c r="D39" s="19"/>
      <c r="G39" s="113"/>
      <c r="H39" s="135">
        <f>Model!G136</f>
        <v>0.14135855546001719</v>
      </c>
      <c r="I39" s="135">
        <f>Model!H136</f>
        <v>0.36469790568027727</v>
      </c>
      <c r="J39" s="135">
        <v>-0.15</v>
      </c>
      <c r="K39" s="124">
        <f>CHOOSE($D$5,K40,K41,K42)</f>
        <v>0.1</v>
      </c>
      <c r="L39" s="124">
        <f>CHOOSE($D$5,L40,L41,L42)</f>
        <v>8.5000000000000006E-2</v>
      </c>
      <c r="M39" s="124">
        <f>CHOOSE($D$5,M40,N41,M42)</f>
        <v>5.5E-2</v>
      </c>
      <c r="N39" s="120">
        <f>CHOOSE($D$5,N40,O41,N42)</f>
        <v>5.5E-2</v>
      </c>
      <c r="O39" s="124">
        <f>CHOOSE($D$5,O40,O41,O42)</f>
        <v>5.5E-2</v>
      </c>
      <c r="P39" s="124">
        <f>CHOOSE($D$5,P40,P41,P42)</f>
        <v>5.5E-2</v>
      </c>
      <c r="Q39" s="125">
        <f>CHOOSE($D$5,Q40,Q41,Q42)</f>
        <v>5.5E-2</v>
      </c>
    </row>
    <row r="40" spans="2:17" x14ac:dyDescent="0.3">
      <c r="B40" s="15" t="s">
        <v>150</v>
      </c>
      <c r="D40" s="340">
        <v>5.0000000000000001E-3</v>
      </c>
      <c r="G40" s="109"/>
      <c r="H40" s="110"/>
      <c r="I40" s="110"/>
      <c r="J40" s="110"/>
      <c r="K40" s="123">
        <f>K41+$D40</f>
        <v>0.10500000000000001</v>
      </c>
      <c r="L40" s="123">
        <f t="shared" ref="L40:Q40" si="15">L41+$D40</f>
        <v>9.0000000000000011E-2</v>
      </c>
      <c r="M40" s="123">
        <f t="shared" si="15"/>
        <v>7.5000000000000011E-2</v>
      </c>
      <c r="N40" s="123">
        <f t="shared" si="15"/>
        <v>0.06</v>
      </c>
      <c r="O40" s="123">
        <f t="shared" si="15"/>
        <v>0.06</v>
      </c>
      <c r="P40" s="123">
        <f t="shared" si="15"/>
        <v>0.06</v>
      </c>
      <c r="Q40" s="143">
        <f t="shared" si="15"/>
        <v>0.06</v>
      </c>
    </row>
    <row r="41" spans="2:17" x14ac:dyDescent="0.3">
      <c r="B41" s="15" t="s">
        <v>151</v>
      </c>
      <c r="D41" s="338">
        <v>0</v>
      </c>
      <c r="G41" s="109"/>
      <c r="H41" s="110"/>
      <c r="I41" s="110"/>
      <c r="J41" s="110"/>
      <c r="K41" s="122">
        <v>0.1</v>
      </c>
      <c r="L41" s="126">
        <f t="shared" ref="L41:M41" si="16">($N41-$K41)/3+K41</f>
        <v>8.5000000000000006E-2</v>
      </c>
      <c r="M41" s="126">
        <f t="shared" si="16"/>
        <v>7.0000000000000007E-2</v>
      </c>
      <c r="N41" s="122">
        <v>5.5E-2</v>
      </c>
      <c r="O41" s="126">
        <f>N41</f>
        <v>5.5E-2</v>
      </c>
      <c r="P41" s="126">
        <f>O41</f>
        <v>5.5E-2</v>
      </c>
      <c r="Q41" s="127">
        <f>P41</f>
        <v>5.5E-2</v>
      </c>
    </row>
    <row r="42" spans="2:17" x14ac:dyDescent="0.3">
      <c r="B42" s="15" t="s">
        <v>152</v>
      </c>
      <c r="D42" s="341">
        <v>-5.0000000000000001E-3</v>
      </c>
      <c r="G42" s="111"/>
      <c r="H42" s="112"/>
      <c r="I42" s="112"/>
      <c r="J42" s="112"/>
      <c r="K42" s="128">
        <f>K41+$D42</f>
        <v>9.5000000000000001E-2</v>
      </c>
      <c r="L42" s="128">
        <f t="shared" ref="L42:Q42" si="17">L41+$D42</f>
        <v>0.08</v>
      </c>
      <c r="M42" s="128">
        <f t="shared" si="17"/>
        <v>6.5000000000000002E-2</v>
      </c>
      <c r="N42" s="128">
        <f t="shared" si="17"/>
        <v>0.05</v>
      </c>
      <c r="O42" s="128">
        <f t="shared" si="17"/>
        <v>0.05</v>
      </c>
      <c r="P42" s="128">
        <f t="shared" si="17"/>
        <v>0.05</v>
      </c>
      <c r="Q42" s="129">
        <f t="shared" si="17"/>
        <v>0.05</v>
      </c>
    </row>
    <row r="43" spans="2:17" x14ac:dyDescent="0.3">
      <c r="D43" s="19"/>
    </row>
    <row r="44" spans="2:17" x14ac:dyDescent="0.3">
      <c r="B44" s="11" t="s">
        <v>158</v>
      </c>
      <c r="D44" s="19"/>
      <c r="G44" s="113"/>
      <c r="H44" s="135">
        <f>Model!G138</f>
        <v>-0.16300372599598723</v>
      </c>
      <c r="I44" s="135">
        <f>Model!H138</f>
        <v>0.19100908132096905</v>
      </c>
      <c r="J44" s="135">
        <v>-0.03</v>
      </c>
      <c r="K44" s="120">
        <f>CHOOSE($D$5,K45,K46,K47)</f>
        <v>0.03</v>
      </c>
      <c r="L44" s="120">
        <f>CHOOSE($D$5,L45,L46,L47)</f>
        <v>3.3333333333333333E-2</v>
      </c>
      <c r="M44" s="120">
        <f>CHOOSE($D$5,M45,N46,M47)</f>
        <v>0.04</v>
      </c>
      <c r="N44" s="120">
        <f>CHOOSE($D$5,N45,O46,N47)</f>
        <v>0.04</v>
      </c>
      <c r="O44" s="120">
        <f>CHOOSE($D$5,O45,O46,O47)</f>
        <v>0.04</v>
      </c>
      <c r="P44" s="120">
        <f>CHOOSE($D$5,P45,P46,P47)</f>
        <v>0.04</v>
      </c>
      <c r="Q44" s="121">
        <f>CHOOSE($D$5,Q45,Q46,Q47)</f>
        <v>0.04</v>
      </c>
    </row>
    <row r="45" spans="2:17" x14ac:dyDescent="0.3">
      <c r="B45" s="15" t="s">
        <v>150</v>
      </c>
      <c r="D45" s="337">
        <v>0.01</v>
      </c>
      <c r="G45" s="109"/>
      <c r="H45" s="110"/>
      <c r="I45" s="110"/>
      <c r="J45" s="110"/>
      <c r="K45" s="115">
        <f>K46+$D45</f>
        <v>0.04</v>
      </c>
      <c r="L45" s="115">
        <f t="shared" ref="L45:Q45" si="18">L46+$D45</f>
        <v>4.3333333333333335E-2</v>
      </c>
      <c r="M45" s="115">
        <f t="shared" si="18"/>
        <v>4.6666666666666669E-2</v>
      </c>
      <c r="N45" s="115">
        <f t="shared" si="18"/>
        <v>0.05</v>
      </c>
      <c r="O45" s="115">
        <f t="shared" si="18"/>
        <v>0.05</v>
      </c>
      <c r="P45" s="115">
        <f t="shared" si="18"/>
        <v>0.05</v>
      </c>
      <c r="Q45" s="132">
        <f t="shared" si="18"/>
        <v>0.05</v>
      </c>
    </row>
    <row r="46" spans="2:17" x14ac:dyDescent="0.3">
      <c r="B46" s="15" t="s">
        <v>151</v>
      </c>
      <c r="D46" s="338">
        <v>0</v>
      </c>
      <c r="G46" s="109"/>
      <c r="H46" s="110"/>
      <c r="I46" s="110"/>
      <c r="J46" s="110"/>
      <c r="K46" s="114">
        <v>0.03</v>
      </c>
      <c r="L46" s="126">
        <f t="shared" ref="L46:M46" si="19">($N46-$K46)/3+K46</f>
        <v>3.3333333333333333E-2</v>
      </c>
      <c r="M46" s="126">
        <f t="shared" si="19"/>
        <v>3.6666666666666667E-2</v>
      </c>
      <c r="N46" s="122">
        <v>0.04</v>
      </c>
      <c r="O46" s="116">
        <f>N46</f>
        <v>0.04</v>
      </c>
      <c r="P46" s="116">
        <f>O46</f>
        <v>0.04</v>
      </c>
      <c r="Q46" s="117">
        <f>P46</f>
        <v>0.04</v>
      </c>
    </row>
    <row r="47" spans="2:17" x14ac:dyDescent="0.3">
      <c r="B47" s="15" t="s">
        <v>152</v>
      </c>
      <c r="D47" s="339">
        <v>-0.01</v>
      </c>
      <c r="G47" s="111"/>
      <c r="H47" s="112"/>
      <c r="I47" s="112"/>
      <c r="J47" s="112"/>
      <c r="K47" s="118">
        <f>K46+$D47</f>
        <v>1.9999999999999997E-2</v>
      </c>
      <c r="L47" s="118">
        <f t="shared" ref="L47:Q47" si="20">L46+$D47</f>
        <v>2.3333333333333331E-2</v>
      </c>
      <c r="M47" s="118">
        <f t="shared" si="20"/>
        <v>2.6666666666666665E-2</v>
      </c>
      <c r="N47" s="118">
        <f t="shared" si="20"/>
        <v>0.03</v>
      </c>
      <c r="O47" s="118">
        <f t="shared" si="20"/>
        <v>0.03</v>
      </c>
      <c r="P47" s="118">
        <f t="shared" si="20"/>
        <v>0.03</v>
      </c>
      <c r="Q47" s="119">
        <f t="shared" si="20"/>
        <v>0.03</v>
      </c>
    </row>
    <row r="48" spans="2:17" x14ac:dyDescent="0.3">
      <c r="D48" s="19"/>
    </row>
    <row r="49" spans="1:17" x14ac:dyDescent="0.3">
      <c r="D49" s="19"/>
    </row>
    <row r="50" spans="1:17" s="8" customFormat="1" ht="21" x14ac:dyDescent="0.4">
      <c r="A50" t="s">
        <v>3</v>
      </c>
      <c r="B50" s="9" t="s">
        <v>159</v>
      </c>
    </row>
    <row r="51" spans="1:17" x14ac:dyDescent="0.3">
      <c r="D51" s="19"/>
    </row>
    <row r="52" spans="1:17" ht="15" thickBot="1" x14ac:dyDescent="0.35">
      <c r="D52" s="19"/>
      <c r="G52" s="83">
        <v>2021</v>
      </c>
      <c r="H52" s="83">
        <v>2022</v>
      </c>
      <c r="I52" s="83">
        <v>2023</v>
      </c>
      <c r="J52" s="83">
        <v>2024</v>
      </c>
      <c r="K52" s="80">
        <v>2025</v>
      </c>
      <c r="L52" s="80">
        <v>2026</v>
      </c>
      <c r="M52" s="80">
        <v>2027</v>
      </c>
      <c r="N52" s="80">
        <v>2028</v>
      </c>
      <c r="O52" s="80">
        <v>2029</v>
      </c>
      <c r="P52" s="80">
        <v>2030</v>
      </c>
      <c r="Q52" s="80">
        <v>2031</v>
      </c>
    </row>
    <row r="53" spans="1:17" x14ac:dyDescent="0.3">
      <c r="D53" s="19"/>
    </row>
    <row r="54" spans="1:17" x14ac:dyDescent="0.3">
      <c r="B54" s="11" t="s">
        <v>160</v>
      </c>
      <c r="D54" s="19"/>
      <c r="G54" s="138">
        <v>0.17</v>
      </c>
      <c r="H54" s="139">
        <v>0.17</v>
      </c>
      <c r="I54" s="139">
        <v>0.17</v>
      </c>
      <c r="J54" s="139">
        <v>0.17</v>
      </c>
      <c r="K54" s="120">
        <f t="shared" ref="K54:Q54" si="21">CHOOSE($D$5,K55,K56,K57)</f>
        <v>0.15</v>
      </c>
      <c r="L54" s="120">
        <f t="shared" si="21"/>
        <v>0.13999999999999999</v>
      </c>
      <c r="M54" s="120">
        <f t="shared" si="21"/>
        <v>0.12999999999999998</v>
      </c>
      <c r="N54" s="120">
        <f t="shared" si="21"/>
        <v>0.11999999999999998</v>
      </c>
      <c r="O54" s="120">
        <f t="shared" si="21"/>
        <v>0.10999999999999999</v>
      </c>
      <c r="P54" s="120">
        <f t="shared" si="21"/>
        <v>9.9999999999999992E-2</v>
      </c>
      <c r="Q54" s="121">
        <f t="shared" si="21"/>
        <v>0.09</v>
      </c>
    </row>
    <row r="55" spans="1:17" x14ac:dyDescent="0.3">
      <c r="D55" s="337">
        <v>0.01</v>
      </c>
      <c r="G55" s="109"/>
      <c r="H55" s="110"/>
      <c r="I55" s="110"/>
      <c r="J55" s="110"/>
      <c r="K55" s="115">
        <f>K56+$D55</f>
        <v>0.16</v>
      </c>
      <c r="L55" s="116">
        <f t="shared" ref="L55:Q55" si="22">L56+$D55</f>
        <v>0.15</v>
      </c>
      <c r="M55" s="116">
        <f t="shared" si="22"/>
        <v>0.13999999999999999</v>
      </c>
      <c r="N55" s="116">
        <f t="shared" si="22"/>
        <v>0.12999999999999998</v>
      </c>
      <c r="O55" s="116">
        <f t="shared" si="22"/>
        <v>0.11999999999999998</v>
      </c>
      <c r="P55" s="116">
        <f t="shared" si="22"/>
        <v>0.10999999999999999</v>
      </c>
      <c r="Q55" s="117">
        <f t="shared" si="22"/>
        <v>9.9999999999999992E-2</v>
      </c>
    </row>
    <row r="56" spans="1:17" x14ac:dyDescent="0.3">
      <c r="D56" s="338">
        <v>0</v>
      </c>
      <c r="G56" s="109"/>
      <c r="H56" s="110"/>
      <c r="I56" s="110"/>
      <c r="J56" s="110"/>
      <c r="K56" s="114">
        <v>0.15</v>
      </c>
      <c r="L56" s="116">
        <f>($Q$56-$K$56)/6+K56</f>
        <v>0.13999999999999999</v>
      </c>
      <c r="M56" s="116">
        <f>($Q$56-$K$56)/6+L56</f>
        <v>0.12999999999999998</v>
      </c>
      <c r="N56" s="116">
        <f>($Q$56-$K$56)/6+M56</f>
        <v>0.11999999999999998</v>
      </c>
      <c r="O56" s="116">
        <f>($Q$56-$K$56)/6+N56</f>
        <v>0.10999999999999999</v>
      </c>
      <c r="P56" s="116">
        <f>($Q$56-$K$56)/6+O56</f>
        <v>9.9999999999999992E-2</v>
      </c>
      <c r="Q56" s="136">
        <v>0.09</v>
      </c>
    </row>
    <row r="57" spans="1:17" x14ac:dyDescent="0.3">
      <c r="D57" s="339">
        <v>-0.01</v>
      </c>
      <c r="G57" s="111"/>
      <c r="H57" s="112"/>
      <c r="I57" s="112"/>
      <c r="J57" s="112"/>
      <c r="K57" s="118">
        <f>K56+$D57</f>
        <v>0.13999999999999999</v>
      </c>
      <c r="L57" s="118">
        <f t="shared" ref="L57:Q57" si="23">L56+$D57</f>
        <v>0.12999999999999998</v>
      </c>
      <c r="M57" s="118">
        <f t="shared" si="23"/>
        <v>0.11999999999999998</v>
      </c>
      <c r="N57" s="118">
        <f t="shared" si="23"/>
        <v>0.10999999999999999</v>
      </c>
      <c r="O57" s="118">
        <f t="shared" si="23"/>
        <v>9.9999999999999992E-2</v>
      </c>
      <c r="P57" s="118">
        <f t="shared" si="23"/>
        <v>0.09</v>
      </c>
      <c r="Q57" s="119">
        <f t="shared" si="23"/>
        <v>0.08</v>
      </c>
    </row>
    <row r="58" spans="1:17" x14ac:dyDescent="0.3">
      <c r="D58" s="19"/>
    </row>
    <row r="59" spans="1:17" x14ac:dyDescent="0.3">
      <c r="D59" s="19"/>
      <c r="G59" s="138">
        <v>0.3</v>
      </c>
      <c r="H59" s="139">
        <v>0.3</v>
      </c>
      <c r="I59" s="139">
        <v>0.3</v>
      </c>
      <c r="J59" s="139">
        <v>0.3</v>
      </c>
      <c r="K59" s="120">
        <f t="shared" ref="K59:Q59" si="24">CHOOSE($D$5,K60,K61,K62)</f>
        <v>0.15</v>
      </c>
      <c r="L59" s="120">
        <f t="shared" si="24"/>
        <v>0.13999999999999999</v>
      </c>
      <c r="M59" s="120">
        <f t="shared" si="24"/>
        <v>0.12999999999999998</v>
      </c>
      <c r="N59" s="120">
        <f t="shared" si="24"/>
        <v>0.11999999999999998</v>
      </c>
      <c r="O59" s="120">
        <f t="shared" si="24"/>
        <v>0.10999999999999999</v>
      </c>
      <c r="P59" s="120">
        <f t="shared" si="24"/>
        <v>9.9999999999999992E-2</v>
      </c>
      <c r="Q59" s="121">
        <f t="shared" si="24"/>
        <v>0.09</v>
      </c>
    </row>
    <row r="60" spans="1:17" x14ac:dyDescent="0.3">
      <c r="B60" s="11" t="s">
        <v>161</v>
      </c>
      <c r="D60" s="337">
        <v>0.01</v>
      </c>
      <c r="G60" s="109"/>
      <c r="H60" s="110"/>
      <c r="I60" s="110"/>
      <c r="J60" s="110"/>
      <c r="K60" s="115">
        <f>K61+$D60</f>
        <v>0.16</v>
      </c>
      <c r="L60" s="116">
        <f t="shared" ref="L60:Q60" si="25">L61+$D60</f>
        <v>0.15</v>
      </c>
      <c r="M60" s="116">
        <f t="shared" si="25"/>
        <v>0.13999999999999999</v>
      </c>
      <c r="N60" s="116">
        <f t="shared" si="25"/>
        <v>0.12999999999999998</v>
      </c>
      <c r="O60" s="116">
        <f t="shared" si="25"/>
        <v>0.11999999999999998</v>
      </c>
      <c r="P60" s="116">
        <f t="shared" si="25"/>
        <v>0.10999999999999999</v>
      </c>
      <c r="Q60" s="117">
        <f t="shared" si="25"/>
        <v>9.9999999999999992E-2</v>
      </c>
    </row>
    <row r="61" spans="1:17" x14ac:dyDescent="0.3">
      <c r="D61" s="338">
        <v>0</v>
      </c>
      <c r="G61" s="109"/>
      <c r="H61" s="110"/>
      <c r="I61" s="110"/>
      <c r="J61" s="110"/>
      <c r="K61" s="114">
        <v>0.15</v>
      </c>
      <c r="L61" s="116">
        <f>($Q$56-$K$56)/6+K61</f>
        <v>0.13999999999999999</v>
      </c>
      <c r="M61" s="116">
        <f>($Q$56-$K$56)/6+L61</f>
        <v>0.12999999999999998</v>
      </c>
      <c r="N61" s="116">
        <f>($Q$56-$K$56)/6+M61</f>
        <v>0.11999999999999998</v>
      </c>
      <c r="O61" s="116">
        <f>($Q$56-$K$56)/6+N61</f>
        <v>0.10999999999999999</v>
      </c>
      <c r="P61" s="116">
        <f>($Q$56-$K$56)/6+O61</f>
        <v>9.9999999999999992E-2</v>
      </c>
      <c r="Q61" s="136">
        <v>0.09</v>
      </c>
    </row>
    <row r="62" spans="1:17" x14ac:dyDescent="0.3">
      <c r="D62" s="339">
        <v>-0.01</v>
      </c>
      <c r="G62" s="111"/>
      <c r="H62" s="112"/>
      <c r="I62" s="112"/>
      <c r="J62" s="112"/>
      <c r="K62" s="118">
        <f>K61+$D62</f>
        <v>0.13999999999999999</v>
      </c>
      <c r="L62" s="118">
        <f t="shared" ref="L62:Q62" si="26">L61+$D62</f>
        <v>0.12999999999999998</v>
      </c>
      <c r="M62" s="118">
        <f t="shared" si="26"/>
        <v>0.11999999999999998</v>
      </c>
      <c r="N62" s="118">
        <f t="shared" si="26"/>
        <v>0.10999999999999999</v>
      </c>
      <c r="O62" s="118">
        <f t="shared" si="26"/>
        <v>9.9999999999999992E-2</v>
      </c>
      <c r="P62" s="118">
        <f t="shared" si="26"/>
        <v>0.09</v>
      </c>
      <c r="Q62" s="119">
        <f t="shared" si="26"/>
        <v>0.08</v>
      </c>
    </row>
    <row r="63" spans="1:17" x14ac:dyDescent="0.3">
      <c r="D63" s="19"/>
    </row>
    <row r="64" spans="1:17" s="8" customFormat="1" ht="21" x14ac:dyDescent="0.4">
      <c r="A64" t="s">
        <v>3</v>
      </c>
      <c r="B64" s="9" t="s">
        <v>162</v>
      </c>
    </row>
    <row r="65" spans="2:19" x14ac:dyDescent="0.3">
      <c r="D65" s="19"/>
    </row>
    <row r="66" spans="2:19" ht="15" thickBot="1" x14ac:dyDescent="0.35">
      <c r="D66" s="19"/>
      <c r="G66" s="83">
        <v>2021</v>
      </c>
      <c r="H66" s="83">
        <v>2022</v>
      </c>
      <c r="I66" s="83">
        <v>2023</v>
      </c>
      <c r="J66" s="83">
        <v>2024</v>
      </c>
      <c r="K66" s="80">
        <v>2025</v>
      </c>
      <c r="L66" s="80">
        <v>2026</v>
      </c>
      <c r="M66" s="80">
        <v>2027</v>
      </c>
      <c r="N66" s="80">
        <v>2028</v>
      </c>
      <c r="O66" s="80">
        <v>2029</v>
      </c>
      <c r="P66" s="80">
        <v>2030</v>
      </c>
      <c r="Q66" s="80">
        <v>2031</v>
      </c>
      <c r="R66" s="238">
        <v>2026</v>
      </c>
      <c r="S66" s="238">
        <v>2026</v>
      </c>
    </row>
    <row r="67" spans="2:19" x14ac:dyDescent="0.3">
      <c r="D67" s="19"/>
    </row>
    <row r="68" spans="2:19" x14ac:dyDescent="0.3">
      <c r="B68" s="11" t="s">
        <v>163</v>
      </c>
      <c r="D68" s="19"/>
      <c r="G68" s="134">
        <f>-Model!F14/Model!F13</f>
        <v>0.41917454858125536</v>
      </c>
      <c r="H68" s="86">
        <f>-Model!G14/Model!G13</f>
        <v>0.43438300436944399</v>
      </c>
      <c r="I68" s="86">
        <f>-Model!H14/Model!H13</f>
        <v>0.42168092740822521</v>
      </c>
      <c r="J68" s="86">
        <f>-Model!I14/Model!I13</f>
        <v>0.44875644875644871</v>
      </c>
      <c r="K68" s="124">
        <f>CHOOSE($D$5,K69,K70,K71)</f>
        <v>0.44464838464838463</v>
      </c>
      <c r="L68" s="124">
        <f t="shared" ref="L68:Q68" si="27">CHOOSE($D$5,L69,L70,L71)</f>
        <v>0.44054032054032055</v>
      </c>
      <c r="M68" s="124">
        <f t="shared" si="27"/>
        <v>0.43643225643225647</v>
      </c>
      <c r="N68" s="124">
        <f t="shared" si="27"/>
        <v>0.43232419232419239</v>
      </c>
      <c r="O68" s="124">
        <f t="shared" si="27"/>
        <v>0.42821612821612831</v>
      </c>
      <c r="P68" s="124">
        <f t="shared" si="27"/>
        <v>0.42410806410806423</v>
      </c>
      <c r="Q68" s="125">
        <f t="shared" si="27"/>
        <v>0.42</v>
      </c>
    </row>
    <row r="69" spans="2:19" x14ac:dyDescent="0.3">
      <c r="B69" s="15" t="s">
        <v>150</v>
      </c>
      <c r="D69" s="337">
        <v>-0.01</v>
      </c>
      <c r="G69" s="109"/>
      <c r="H69" s="110"/>
      <c r="I69" s="110"/>
      <c r="J69" s="110"/>
      <c r="K69" s="123">
        <f>K70+$D69</f>
        <v>0.43464838464838462</v>
      </c>
      <c r="L69" s="123">
        <f>L70+$D69</f>
        <v>0.43054032054032054</v>
      </c>
      <c r="M69" s="123">
        <f t="shared" ref="M69:Q69" si="28">M70+$D69</f>
        <v>0.42643225643225646</v>
      </c>
      <c r="N69" s="123">
        <f t="shared" si="28"/>
        <v>0.42232419232419238</v>
      </c>
      <c r="O69" s="123">
        <f t="shared" si="28"/>
        <v>0.4182161282161283</v>
      </c>
      <c r="P69" s="123">
        <f t="shared" si="28"/>
        <v>0.41410806410806422</v>
      </c>
      <c r="Q69" s="143">
        <f t="shared" si="28"/>
        <v>0.41</v>
      </c>
    </row>
    <row r="70" spans="2:19" x14ac:dyDescent="0.3">
      <c r="B70" s="15" t="s">
        <v>151</v>
      </c>
      <c r="D70" s="338">
        <v>0</v>
      </c>
      <c r="G70" s="109"/>
      <c r="H70" s="110"/>
      <c r="I70" s="110"/>
      <c r="J70" s="110"/>
      <c r="K70" s="126">
        <f>($Q$70-$J$68)/7+J68</f>
        <v>0.44464838464838463</v>
      </c>
      <c r="L70" s="126">
        <f>($Q$70-$J$68)/7+K70</f>
        <v>0.44054032054032055</v>
      </c>
      <c r="M70" s="126">
        <f t="shared" ref="M70:P70" si="29">($Q$70-$J$68)/7+L70</f>
        <v>0.43643225643225647</v>
      </c>
      <c r="N70" s="126">
        <f t="shared" si="29"/>
        <v>0.43232419232419239</v>
      </c>
      <c r="O70" s="126">
        <f t="shared" si="29"/>
        <v>0.42821612821612831</v>
      </c>
      <c r="P70" s="126">
        <f t="shared" si="29"/>
        <v>0.42410806410806423</v>
      </c>
      <c r="Q70" s="148">
        <v>0.42</v>
      </c>
    </row>
    <row r="71" spans="2:19" x14ac:dyDescent="0.3">
      <c r="B71" s="15" t="s">
        <v>152</v>
      </c>
      <c r="D71" s="339">
        <v>0.01</v>
      </c>
      <c r="G71" s="111"/>
      <c r="H71" s="112"/>
      <c r="I71" s="112"/>
      <c r="J71" s="112"/>
      <c r="K71" s="128">
        <f>K70+$D71</f>
        <v>0.45464838464838464</v>
      </c>
      <c r="L71" s="128">
        <f>L70+$D71</f>
        <v>0.45054032054032056</v>
      </c>
      <c r="M71" s="128">
        <f t="shared" ref="M71:Q71" si="30">M70+$D71</f>
        <v>0.44643225643225648</v>
      </c>
      <c r="N71" s="128">
        <f t="shared" si="30"/>
        <v>0.4423241923241924</v>
      </c>
      <c r="O71" s="128">
        <f t="shared" si="30"/>
        <v>0.43821612821612832</v>
      </c>
      <c r="P71" s="128">
        <f t="shared" si="30"/>
        <v>0.43410806410806424</v>
      </c>
      <c r="Q71" s="129">
        <f t="shared" si="30"/>
        <v>0.43</v>
      </c>
    </row>
    <row r="72" spans="2:19" x14ac:dyDescent="0.3">
      <c r="D72" s="19"/>
    </row>
    <row r="73" spans="2:19" x14ac:dyDescent="0.3">
      <c r="B73" s="11" t="s">
        <v>164</v>
      </c>
      <c r="D73" s="19"/>
      <c r="G73" s="134">
        <f>-Model!F17/Model!F13</f>
        <v>0.33766122098022355</v>
      </c>
      <c r="H73" s="86">
        <f>-Model!G17/Model!G13</f>
        <v>0.30360102455928883</v>
      </c>
      <c r="I73" s="86">
        <f>-Model!H17/Model!H13</f>
        <v>0.32079768147943694</v>
      </c>
      <c r="J73" s="86">
        <f>-Model!I17/Model!I13</f>
        <v>0.34265034265034267</v>
      </c>
      <c r="K73" s="124">
        <f>CHOOSE($D$5,K74,K75,K76)</f>
        <v>0.32340032340032332</v>
      </c>
      <c r="L73" s="124">
        <f t="shared" ref="L73:Q73" si="31">CHOOSE($D$5,L74,L75,L76)</f>
        <v>0.30415030415030397</v>
      </c>
      <c r="M73" s="124">
        <f t="shared" si="31"/>
        <v>0.30215030415030397</v>
      </c>
      <c r="N73" s="124">
        <f t="shared" si="31"/>
        <v>0.30015030415030397</v>
      </c>
      <c r="O73" s="124">
        <f t="shared" si="31"/>
        <v>0.29815030415030397</v>
      </c>
      <c r="P73" s="124">
        <f t="shared" si="31"/>
        <v>0.29615030415030397</v>
      </c>
      <c r="Q73" s="125">
        <f t="shared" si="31"/>
        <v>0.29415030415030402</v>
      </c>
    </row>
    <row r="74" spans="2:19" x14ac:dyDescent="0.3">
      <c r="B74" s="15" t="s">
        <v>150</v>
      </c>
      <c r="D74" s="337">
        <v>-0.02</v>
      </c>
      <c r="G74" s="109"/>
      <c r="H74" s="110"/>
      <c r="I74" s="110"/>
      <c r="J74" s="110"/>
      <c r="K74" s="123">
        <f>K75+$D74</f>
        <v>0.3034003234003233</v>
      </c>
      <c r="L74" s="123">
        <f>L75+$D74</f>
        <v>0.28415030415030396</v>
      </c>
      <c r="M74" s="123">
        <f t="shared" ref="M74" si="32">M75+$D74</f>
        <v>0.28215030415030395</v>
      </c>
      <c r="N74" s="123">
        <f t="shared" ref="N74" si="33">N75+$D74</f>
        <v>0.28015030415030395</v>
      </c>
      <c r="O74" s="123">
        <f t="shared" ref="O74" si="34">O75+$D74</f>
        <v>0.27815030415030395</v>
      </c>
      <c r="P74" s="123">
        <f t="shared" ref="P74" si="35">P75+$D74</f>
        <v>0.27615030415030395</v>
      </c>
      <c r="Q74" s="143">
        <f t="shared" ref="Q74" si="36">Q75+$D74</f>
        <v>0.274150304150304</v>
      </c>
    </row>
    <row r="75" spans="2:19" x14ac:dyDescent="0.3">
      <c r="B75" s="15" t="s">
        <v>151</v>
      </c>
      <c r="D75" s="338">
        <v>0</v>
      </c>
      <c r="G75" s="109"/>
      <c r="H75" s="110"/>
      <c r="I75" s="110"/>
      <c r="J75" s="110"/>
      <c r="K75" s="126">
        <f>(L75-J73)/2+J73</f>
        <v>0.32340032340032332</v>
      </c>
      <c r="L75" s="122">
        <v>0.30415030415030397</v>
      </c>
      <c r="M75" s="126">
        <f>($Q$75-$L$75)/5+L75</f>
        <v>0.30215030415030397</v>
      </c>
      <c r="N75" s="126">
        <f t="shared" ref="N75:P75" si="37">($Q$75-$L$75)/5+M75</f>
        <v>0.30015030415030397</v>
      </c>
      <c r="O75" s="126">
        <f t="shared" si="37"/>
        <v>0.29815030415030397</v>
      </c>
      <c r="P75" s="126">
        <f t="shared" si="37"/>
        <v>0.29615030415030397</v>
      </c>
      <c r="Q75" s="148">
        <v>0.29415030415030402</v>
      </c>
    </row>
    <row r="76" spans="2:19" x14ac:dyDescent="0.3">
      <c r="B76" s="175" t="s">
        <v>152</v>
      </c>
      <c r="C76" s="54"/>
      <c r="D76" s="342">
        <v>0.02</v>
      </c>
      <c r="E76" s="54"/>
      <c r="F76" s="54"/>
      <c r="G76" s="111"/>
      <c r="H76" s="112"/>
      <c r="I76" s="112"/>
      <c r="J76" s="112"/>
      <c r="K76" s="128">
        <f t="shared" ref="K76:Q76" si="38">K75+$D76</f>
        <v>0.34340032340032334</v>
      </c>
      <c r="L76" s="128">
        <f t="shared" si="38"/>
        <v>0.32415030415030399</v>
      </c>
      <c r="M76" s="128">
        <f t="shared" si="38"/>
        <v>0.32215030415030399</v>
      </c>
      <c r="N76" s="128">
        <f t="shared" si="38"/>
        <v>0.32015030415030399</v>
      </c>
      <c r="O76" s="128">
        <f t="shared" si="38"/>
        <v>0.31815030415030399</v>
      </c>
      <c r="P76" s="128">
        <f t="shared" si="38"/>
        <v>0.31615030415030398</v>
      </c>
      <c r="Q76" s="129">
        <f t="shared" si="38"/>
        <v>0.31415030415030404</v>
      </c>
    </row>
    <row r="77" spans="2:19" x14ac:dyDescent="0.3">
      <c r="D77" s="19"/>
    </row>
    <row r="78" spans="2:19" x14ac:dyDescent="0.3">
      <c r="B78" s="11" t="s">
        <v>165</v>
      </c>
      <c r="D78" s="19"/>
      <c r="G78" s="134">
        <f>-Model!F18/Model!F13</f>
        <v>7.9621668099742041E-2</v>
      </c>
      <c r="H78" s="86">
        <f>-Model!G18/Model!G13</f>
        <v>8.595751092361005E-2</v>
      </c>
      <c r="I78" s="86">
        <f>-Model!H18/Model!H13</f>
        <v>8.7565553408777252E-2</v>
      </c>
      <c r="J78" s="86">
        <f>-Model!I18/Model!I13</f>
        <v>8.6471086471086464E-2</v>
      </c>
      <c r="K78" s="124">
        <f>CHOOSE($D$5,K79,K80,K81)</f>
        <v>8.6471086471086464E-2</v>
      </c>
      <c r="L78" s="124">
        <f t="shared" ref="L78:Q78" si="39">CHOOSE($D$5,L79,L80,L81)</f>
        <v>8.4559238725905386E-2</v>
      </c>
      <c r="M78" s="124">
        <f t="shared" si="39"/>
        <v>8.2647390980724308E-2</v>
      </c>
      <c r="N78" s="124">
        <f t="shared" si="39"/>
        <v>8.0735543235543231E-2</v>
      </c>
      <c r="O78" s="124">
        <f t="shared" si="39"/>
        <v>7.8823695490362153E-2</v>
      </c>
      <c r="P78" s="124">
        <f t="shared" si="39"/>
        <v>7.6911847745181075E-2</v>
      </c>
      <c r="Q78" s="125">
        <f t="shared" si="39"/>
        <v>7.4999999999999997E-2</v>
      </c>
    </row>
    <row r="79" spans="2:19" x14ac:dyDescent="0.3">
      <c r="B79" s="15" t="s">
        <v>150</v>
      </c>
      <c r="D79" s="340">
        <v>-5.0000000000000001E-3</v>
      </c>
      <c r="G79" s="109"/>
      <c r="H79" s="110"/>
      <c r="I79" s="110"/>
      <c r="J79" s="110">
        <f>J204</f>
        <v>0</v>
      </c>
      <c r="K79" s="123">
        <f>K80+$D79</f>
        <v>8.147108647108646E-2</v>
      </c>
      <c r="L79" s="123">
        <f t="shared" ref="L79:Q79" si="40">L80+$D79</f>
        <v>7.9559238725905382E-2</v>
      </c>
      <c r="M79" s="123">
        <f t="shared" si="40"/>
        <v>7.7647390980724304E-2</v>
      </c>
      <c r="N79" s="123">
        <f t="shared" si="40"/>
        <v>7.5735543235543226E-2</v>
      </c>
      <c r="O79" s="123">
        <f t="shared" si="40"/>
        <v>7.3823695490362148E-2</v>
      </c>
      <c r="P79" s="123">
        <f t="shared" si="40"/>
        <v>7.1911847745181071E-2</v>
      </c>
      <c r="Q79" s="143">
        <f t="shared" si="40"/>
        <v>6.9999999999999993E-2</v>
      </c>
    </row>
    <row r="80" spans="2:19" x14ac:dyDescent="0.3">
      <c r="B80" s="15" t="s">
        <v>151</v>
      </c>
      <c r="D80" s="338">
        <v>0</v>
      </c>
      <c r="G80" s="109"/>
      <c r="H80" s="110"/>
      <c r="I80" s="110"/>
      <c r="J80" s="110"/>
      <c r="K80" s="74">
        <v>8.6471086471086464E-2</v>
      </c>
      <c r="L80" s="18">
        <f>($Q$80-$K$80)/6+K80</f>
        <v>8.4559238725905386E-2</v>
      </c>
      <c r="M80" s="18">
        <f t="shared" ref="M80:P80" si="41">($Q$80-$K$80)/6+L80</f>
        <v>8.2647390980724308E-2</v>
      </c>
      <c r="N80" s="18">
        <f t="shared" si="41"/>
        <v>8.0735543235543231E-2</v>
      </c>
      <c r="O80" s="18">
        <f t="shared" si="41"/>
        <v>7.8823695490362153E-2</v>
      </c>
      <c r="P80" s="18">
        <f t="shared" si="41"/>
        <v>7.6911847745181075E-2</v>
      </c>
      <c r="Q80" s="147">
        <v>7.4999999999999997E-2</v>
      </c>
    </row>
    <row r="81" spans="2:19" x14ac:dyDescent="0.3">
      <c r="B81" s="15" t="s">
        <v>152</v>
      </c>
      <c r="D81" s="343">
        <v>5.0000000000000001E-3</v>
      </c>
      <c r="G81" s="111"/>
      <c r="H81" s="112"/>
      <c r="I81" s="112"/>
      <c r="J81" s="112"/>
      <c r="K81" s="128">
        <f>K80+$D81</f>
        <v>9.1471086471086469E-2</v>
      </c>
      <c r="L81" s="128">
        <f t="shared" ref="L81:Q81" si="42">L80+$D81</f>
        <v>8.9559238725905391E-2</v>
      </c>
      <c r="M81" s="128">
        <f t="shared" si="42"/>
        <v>8.7647390980724313E-2</v>
      </c>
      <c r="N81" s="128">
        <f t="shared" si="42"/>
        <v>8.5735543235543235E-2</v>
      </c>
      <c r="O81" s="128">
        <f t="shared" si="42"/>
        <v>8.3823695490362157E-2</v>
      </c>
      <c r="P81" s="128">
        <f t="shared" si="42"/>
        <v>8.1911847745181079E-2</v>
      </c>
      <c r="Q81" s="129">
        <f t="shared" si="42"/>
        <v>0.08</v>
      </c>
    </row>
    <row r="82" spans="2:19" x14ac:dyDescent="0.3">
      <c r="D82" s="19"/>
    </row>
    <row r="83" spans="2:19" x14ac:dyDescent="0.3">
      <c r="B83" s="11" t="s">
        <v>166</v>
      </c>
      <c r="D83" s="19"/>
      <c r="G83" s="134">
        <f>-Model!F22/Model!F13</f>
        <v>4.325021496130696E-2</v>
      </c>
      <c r="H83" s="86">
        <f>-Model!G22/Model!G13</f>
        <v>4.6029832755763146E-2</v>
      </c>
      <c r="I83" s="86">
        <f>-Model!H22/Model!H13</f>
        <v>3.9815070383659952E-2</v>
      </c>
      <c r="J83" s="86">
        <f>-Model!I22/Model!I13</f>
        <v>4.6970046970046968E-2</v>
      </c>
      <c r="K83" s="153">
        <f>($Q$83-$J$83)/7+J83</f>
        <v>4.5947907457705967E-2</v>
      </c>
      <c r="L83" s="153">
        <f t="shared" ref="L83:P83" si="43">($Q$83-$J$83)/7+K83</f>
        <v>4.4925767945364965E-2</v>
      </c>
      <c r="M83" s="153">
        <f t="shared" si="43"/>
        <v>4.3903628433023964E-2</v>
      </c>
      <c r="N83" s="153">
        <f t="shared" si="43"/>
        <v>4.2881488920682963E-2</v>
      </c>
      <c r="O83" s="153">
        <f t="shared" si="43"/>
        <v>4.1859349408341961E-2</v>
      </c>
      <c r="P83" s="153">
        <f t="shared" si="43"/>
        <v>4.083720989600096E-2</v>
      </c>
      <c r="Q83" s="152">
        <v>3.9815070383659952E-2</v>
      </c>
      <c r="R83" s="240">
        <f>L83</f>
        <v>4.4925767945364965E-2</v>
      </c>
      <c r="S83" s="241">
        <f>R83</f>
        <v>4.4925767945364965E-2</v>
      </c>
    </row>
    <row r="84" spans="2:19" x14ac:dyDescent="0.3">
      <c r="D84" s="19"/>
    </row>
    <row r="85" spans="2:19" x14ac:dyDescent="0.3">
      <c r="B85" s="11" t="s">
        <v>167</v>
      </c>
      <c r="D85" s="19"/>
      <c r="G85" s="140"/>
      <c r="H85" s="141"/>
      <c r="I85" s="141"/>
      <c r="J85" s="141"/>
      <c r="K85" s="72">
        <f>CHOOSE($D$5,K86,K87,K88)</f>
        <v>2.35</v>
      </c>
      <c r="L85" s="72">
        <f>CHOOSE($D$5,L86,L87,L88)</f>
        <v>4.7</v>
      </c>
      <c r="M85" s="72">
        <f t="shared" ref="M85:Q85" si="44">CHOOSE($D$5,M86,M87,M88)</f>
        <v>4.7</v>
      </c>
      <c r="N85" s="72">
        <f t="shared" si="44"/>
        <v>4.7</v>
      </c>
      <c r="O85" s="72">
        <f t="shared" si="44"/>
        <v>4.7</v>
      </c>
      <c r="P85" s="72">
        <f t="shared" si="44"/>
        <v>4.7</v>
      </c>
      <c r="Q85" s="332">
        <f t="shared" si="44"/>
        <v>4.7</v>
      </c>
    </row>
    <row r="86" spans="2:19" x14ac:dyDescent="0.3">
      <c r="B86" s="15" t="s">
        <v>150</v>
      </c>
      <c r="D86" s="337">
        <v>0.1</v>
      </c>
      <c r="G86" s="109"/>
      <c r="H86" s="110"/>
      <c r="I86" s="110"/>
      <c r="J86" s="110"/>
      <c r="K86" s="72">
        <f>K87*(1+$D$86)</f>
        <v>2.5850000000000004</v>
      </c>
      <c r="L86" s="72">
        <f>L87*(1+$D$86)</f>
        <v>5.1700000000000008</v>
      </c>
      <c r="M86" s="72">
        <f t="shared" ref="M86:Q86" si="45">M87*(1+$D$86)</f>
        <v>5.1700000000000008</v>
      </c>
      <c r="N86" s="72">
        <f t="shared" si="45"/>
        <v>5.1700000000000008</v>
      </c>
      <c r="O86" s="72">
        <f t="shared" si="45"/>
        <v>5.1700000000000008</v>
      </c>
      <c r="P86" s="72">
        <f t="shared" si="45"/>
        <v>5.1700000000000008</v>
      </c>
      <c r="Q86" s="332">
        <f t="shared" si="45"/>
        <v>5.1700000000000008</v>
      </c>
    </row>
    <row r="87" spans="2:19" x14ac:dyDescent="0.3">
      <c r="B87" s="15" t="s">
        <v>151</v>
      </c>
      <c r="D87" s="338">
        <v>0</v>
      </c>
      <c r="G87" s="109"/>
      <c r="H87" s="110"/>
      <c r="I87" s="110"/>
      <c r="J87" s="110"/>
      <c r="K87" s="46">
        <v>2.35</v>
      </c>
      <c r="L87" s="61">
        <f>K87*2</f>
        <v>4.7</v>
      </c>
      <c r="M87" s="61">
        <f>L87</f>
        <v>4.7</v>
      </c>
      <c r="N87" s="61">
        <f t="shared" ref="N87:Q87" si="46">M87</f>
        <v>4.7</v>
      </c>
      <c r="O87" s="61">
        <f t="shared" si="46"/>
        <v>4.7</v>
      </c>
      <c r="P87" s="61">
        <f t="shared" si="46"/>
        <v>4.7</v>
      </c>
      <c r="Q87" s="333">
        <f t="shared" si="46"/>
        <v>4.7</v>
      </c>
    </row>
    <row r="88" spans="2:19" x14ac:dyDescent="0.3">
      <c r="B88" s="15" t="s">
        <v>152</v>
      </c>
      <c r="D88" s="339">
        <v>-0.1</v>
      </c>
      <c r="G88" s="111"/>
      <c r="H88" s="112"/>
      <c r="I88" s="112"/>
      <c r="J88" s="112"/>
      <c r="K88" s="142">
        <f>K87*(1+$D$88)</f>
        <v>2.1150000000000002</v>
      </c>
      <c r="L88" s="142">
        <f>L87*(1+$D$88)</f>
        <v>4.2300000000000004</v>
      </c>
      <c r="M88" s="142">
        <f t="shared" ref="M88:Q88" si="47">M87*(1+$D$88)</f>
        <v>4.2300000000000004</v>
      </c>
      <c r="N88" s="142">
        <f t="shared" si="47"/>
        <v>4.2300000000000004</v>
      </c>
      <c r="O88" s="142">
        <f t="shared" si="47"/>
        <v>4.2300000000000004</v>
      </c>
      <c r="P88" s="142">
        <f t="shared" si="47"/>
        <v>4.2300000000000004</v>
      </c>
      <c r="Q88" s="334">
        <f t="shared" si="47"/>
        <v>4.2300000000000004</v>
      </c>
    </row>
    <row r="89" spans="2:19" x14ac:dyDescent="0.3">
      <c r="D89" s="19"/>
      <c r="K89" s="61"/>
      <c r="L89" s="61"/>
    </row>
    <row r="90" spans="2:19" x14ac:dyDescent="0.3">
      <c r="B90" s="11" t="s">
        <v>168</v>
      </c>
      <c r="D90" s="19"/>
      <c r="G90" s="140"/>
      <c r="H90" s="141"/>
      <c r="I90" s="141"/>
      <c r="J90" s="141"/>
      <c r="K90" s="72">
        <f>CHOOSE($D$5,K91,K92,K93)</f>
        <v>4.5999999999999996</v>
      </c>
      <c r="L90" s="72">
        <f t="shared" ref="L90:M90" si="48">CHOOSE($D$5,L91,L92,L93)</f>
        <v>9.1999999999999993</v>
      </c>
      <c r="M90" s="72">
        <f t="shared" si="48"/>
        <v>9.1999999999999993</v>
      </c>
      <c r="N90" s="72">
        <f t="shared" ref="N90:Q90" si="49">CHOOSE($D$5,N91,N92,N93)</f>
        <v>9.1999999999999993</v>
      </c>
      <c r="O90" s="72">
        <f t="shared" si="49"/>
        <v>9.1999999999999993</v>
      </c>
      <c r="P90" s="72">
        <f t="shared" si="49"/>
        <v>9.1999999999999993</v>
      </c>
      <c r="Q90" s="332">
        <f t="shared" si="49"/>
        <v>9.1999999999999993</v>
      </c>
    </row>
    <row r="91" spans="2:19" x14ac:dyDescent="0.3">
      <c r="B91" s="15" t="s">
        <v>150</v>
      </c>
      <c r="D91" s="337">
        <v>0.1</v>
      </c>
      <c r="G91" s="109"/>
      <c r="H91" s="110"/>
      <c r="I91" s="110"/>
      <c r="J91" s="110"/>
      <c r="K91" s="72">
        <f>K92*(1+$D$91)</f>
        <v>5.0599999999999996</v>
      </c>
      <c r="L91" s="72">
        <f>L92*(1+$D$91)</f>
        <v>10.119999999999999</v>
      </c>
      <c r="M91" s="72">
        <f>M92*(1+$D$91)</f>
        <v>10.119999999999999</v>
      </c>
      <c r="N91" s="72">
        <f t="shared" ref="N91:Q91" si="50">N92*(1+$D$91)</f>
        <v>10.119999999999999</v>
      </c>
      <c r="O91" s="72">
        <f t="shared" si="50"/>
        <v>10.119999999999999</v>
      </c>
      <c r="P91" s="72">
        <f t="shared" si="50"/>
        <v>10.119999999999999</v>
      </c>
      <c r="Q91" s="332">
        <f t="shared" si="50"/>
        <v>10.119999999999999</v>
      </c>
    </row>
    <row r="92" spans="2:19" x14ac:dyDescent="0.3">
      <c r="B92" s="15" t="s">
        <v>151</v>
      </c>
      <c r="D92" s="338">
        <v>0</v>
      </c>
      <c r="G92" s="109"/>
      <c r="H92" s="110"/>
      <c r="I92" s="110"/>
      <c r="J92" s="110"/>
      <c r="K92" s="46">
        <v>4.5999999999999996</v>
      </c>
      <c r="L92" s="61">
        <f>K92*2</f>
        <v>9.1999999999999993</v>
      </c>
      <c r="M92" s="61">
        <f>L92</f>
        <v>9.1999999999999993</v>
      </c>
      <c r="N92" s="61">
        <f t="shared" ref="N92:Q92" si="51">M92</f>
        <v>9.1999999999999993</v>
      </c>
      <c r="O92" s="61">
        <f t="shared" si="51"/>
        <v>9.1999999999999993</v>
      </c>
      <c r="P92" s="61">
        <f t="shared" si="51"/>
        <v>9.1999999999999993</v>
      </c>
      <c r="Q92" s="333">
        <f t="shared" si="51"/>
        <v>9.1999999999999993</v>
      </c>
    </row>
    <row r="93" spans="2:19" x14ac:dyDescent="0.3">
      <c r="B93" s="15" t="s">
        <v>152</v>
      </c>
      <c r="D93" s="339">
        <v>-0.1</v>
      </c>
      <c r="G93" s="111"/>
      <c r="H93" s="112"/>
      <c r="I93" s="112"/>
      <c r="J93" s="112"/>
      <c r="K93" s="142">
        <f>K92*(1+$D$93)</f>
        <v>4.1399999999999997</v>
      </c>
      <c r="L93" s="142">
        <f>L92*(1+$D$93)</f>
        <v>8.2799999999999994</v>
      </c>
      <c r="M93" s="142">
        <f>M92*(1+$D$93)</f>
        <v>8.2799999999999994</v>
      </c>
      <c r="N93" s="142">
        <f t="shared" ref="N93:Q93" si="52">N92*(1+$D$93)</f>
        <v>8.2799999999999994</v>
      </c>
      <c r="O93" s="142">
        <f t="shared" si="52"/>
        <v>8.2799999999999994</v>
      </c>
      <c r="P93" s="142">
        <f t="shared" si="52"/>
        <v>8.2799999999999994</v>
      </c>
      <c r="Q93" s="334">
        <f t="shared" si="52"/>
        <v>8.2799999999999994</v>
      </c>
    </row>
    <row r="94" spans="2:19" ht="15" thickBot="1" x14ac:dyDescent="0.35"/>
    <row r="95" spans="2:19" ht="15" thickBot="1" x14ac:dyDescent="0.35">
      <c r="B95" s="11" t="s">
        <v>169</v>
      </c>
      <c r="D95" s="344">
        <v>0.23499999999999999</v>
      </c>
    </row>
    <row r="97" spans="1:19" s="8" customFormat="1" ht="21" x14ac:dyDescent="0.4">
      <c r="A97" t="s">
        <v>3</v>
      </c>
      <c r="B97" s="9" t="s">
        <v>170</v>
      </c>
    </row>
    <row r="99" spans="1:19" ht="15" thickBot="1" x14ac:dyDescent="0.35">
      <c r="G99" s="83">
        <v>2021</v>
      </c>
      <c r="H99" s="83">
        <v>2022</v>
      </c>
      <c r="I99" s="83">
        <v>2023</v>
      </c>
      <c r="J99" s="83">
        <v>2024</v>
      </c>
      <c r="K99" s="80">
        <v>2025</v>
      </c>
      <c r="L99" s="80">
        <v>2026</v>
      </c>
      <c r="M99" s="80">
        <v>2027</v>
      </c>
      <c r="N99" s="80">
        <v>2028</v>
      </c>
      <c r="O99" s="80">
        <v>2029</v>
      </c>
      <c r="P99" s="80">
        <v>2030</v>
      </c>
      <c r="Q99" s="80">
        <v>2031</v>
      </c>
      <c r="R99" s="238">
        <v>2026</v>
      </c>
      <c r="S99" s="238">
        <v>2026</v>
      </c>
    </row>
    <row r="100" spans="1:19" x14ac:dyDescent="0.3">
      <c r="G100" s="81"/>
      <c r="H100" s="81"/>
      <c r="I100" s="81"/>
      <c r="J100" s="81"/>
      <c r="K100" s="82"/>
      <c r="L100" s="82"/>
      <c r="M100" s="82"/>
      <c r="N100" s="82"/>
      <c r="O100" s="82"/>
      <c r="P100" s="82"/>
      <c r="Q100" s="82"/>
    </row>
    <row r="101" spans="1:19" x14ac:dyDescent="0.3">
      <c r="B101" s="11" t="s">
        <v>171</v>
      </c>
      <c r="G101" s="81"/>
      <c r="H101" s="81"/>
      <c r="I101" s="81"/>
      <c r="J101" s="81"/>
      <c r="K101" s="82"/>
      <c r="L101" s="82"/>
      <c r="M101" s="82"/>
      <c r="N101" s="82"/>
      <c r="O101" s="82"/>
      <c r="P101" s="82"/>
      <c r="Q101" s="82"/>
    </row>
    <row r="102" spans="1:19" x14ac:dyDescent="0.3">
      <c r="B102" s="15" t="s">
        <v>172</v>
      </c>
      <c r="G102" s="87">
        <f>Model!F185/-Model!F179*365</f>
        <v>44.698461538461544</v>
      </c>
      <c r="H102" s="88">
        <f>Model!G185/-Model!G179*365</f>
        <v>39.753728754769334</v>
      </c>
      <c r="I102" s="88">
        <f>Model!H185/-Model!H179*365</f>
        <v>25.563737522500404</v>
      </c>
      <c r="J102" s="88">
        <f>Model!I185/-Model!I179*365</f>
        <v>31.376973232669872</v>
      </c>
      <c r="K102" s="157">
        <v>30.964167071572223</v>
      </c>
      <c r="L102" s="157">
        <v>29.346986512729284</v>
      </c>
      <c r="M102" s="158">
        <f t="shared" ref="M102:P102" si="53">($Q102-$L102)/5+L102</f>
        <v>30.547234262603485</v>
      </c>
      <c r="N102" s="158">
        <f t="shared" si="53"/>
        <v>31.747482012477686</v>
      </c>
      <c r="O102" s="158">
        <f t="shared" si="53"/>
        <v>32.947729762351884</v>
      </c>
      <c r="P102" s="158">
        <f t="shared" si="53"/>
        <v>34.147977512226085</v>
      </c>
      <c r="Q102" s="192">
        <f t="shared" ref="Q102:Q103" si="54">AVERAGE(G102:J102)</f>
        <v>35.348225262100286</v>
      </c>
      <c r="R102" s="246">
        <f>L102</f>
        <v>29.346986512729284</v>
      </c>
      <c r="S102" s="247">
        <f>R102</f>
        <v>29.346986512729284</v>
      </c>
    </row>
    <row r="103" spans="1:19" x14ac:dyDescent="0.3">
      <c r="B103" s="15" t="s">
        <v>173</v>
      </c>
      <c r="G103" s="89">
        <f>Model!F181/Model!F178*365</f>
        <v>75.447979363714538</v>
      </c>
      <c r="H103" s="90">
        <f>Model!G181/Model!G178*365</f>
        <v>77.900030134096724</v>
      </c>
      <c r="I103" s="90">
        <f>Model!H181/Model!H178*365</f>
        <v>60.321211703008551</v>
      </c>
      <c r="J103" s="90">
        <f>Model!I181/Model!I178*365</f>
        <v>80.296065296065294</v>
      </c>
      <c r="K103" s="20">
        <v>71.971427693044888</v>
      </c>
      <c r="L103" s="20">
        <v>70.574820041675508</v>
      </c>
      <c r="M103" s="27">
        <f t="shared" ref="M103:P103" si="55">($Q103-$L103)/5+L103</f>
        <v>71.158120358184661</v>
      </c>
      <c r="N103" s="27">
        <f t="shared" si="55"/>
        <v>71.741420674693813</v>
      </c>
      <c r="O103" s="27">
        <f t="shared" si="55"/>
        <v>72.324720991202966</v>
      </c>
      <c r="P103" s="27">
        <f t="shared" si="55"/>
        <v>72.908021307712119</v>
      </c>
      <c r="Q103" s="193">
        <f t="shared" si="54"/>
        <v>73.491321624221271</v>
      </c>
      <c r="R103" s="244">
        <f>L103</f>
        <v>70.574820041675508</v>
      </c>
      <c r="S103" s="245">
        <f>R103</f>
        <v>70.574820041675508</v>
      </c>
    </row>
    <row r="104" spans="1:19" x14ac:dyDescent="0.3">
      <c r="B104" s="15" t="s">
        <v>174</v>
      </c>
      <c r="G104" s="156">
        <f>Model!F186/-Model!F179</f>
        <v>0.55487179487179483</v>
      </c>
      <c r="H104" s="146">
        <f>Model!G186/-Model!G179</f>
        <v>0.53919528269164063</v>
      </c>
      <c r="I104" s="146">
        <f>Model!H186/-Model!H179</f>
        <v>0.53444608083783329</v>
      </c>
      <c r="J104" s="146">
        <f>Model!I186/-Model!I179</f>
        <v>0.4816403568977351</v>
      </c>
      <c r="K104" s="74">
        <v>0.48072222850842683</v>
      </c>
      <c r="L104" s="74">
        <v>0.4556153157227375</v>
      </c>
      <c r="M104" s="18">
        <f t="shared" ref="M104:P104" si="56">($Q104-$L104)/5+L104</f>
        <v>0.46999992834314019</v>
      </c>
      <c r="N104" s="18">
        <f t="shared" si="56"/>
        <v>0.48438454096354289</v>
      </c>
      <c r="O104" s="18">
        <f t="shared" si="56"/>
        <v>0.49876915358394558</v>
      </c>
      <c r="P104" s="18">
        <f t="shared" si="56"/>
        <v>0.51315376620434827</v>
      </c>
      <c r="Q104" s="194">
        <f>AVERAGE(G104:J104)</f>
        <v>0.52753837882475096</v>
      </c>
      <c r="R104" s="242">
        <f t="shared" ref="R104:R106" si="57">L104</f>
        <v>0.4556153157227375</v>
      </c>
      <c r="S104" s="243">
        <f t="shared" ref="S104:S106" si="58">R104</f>
        <v>0.4556153157227375</v>
      </c>
    </row>
    <row r="105" spans="1:19" x14ac:dyDescent="0.3">
      <c r="B105" s="15" t="s">
        <v>175</v>
      </c>
      <c r="G105" s="156">
        <f>Model!F182/-Model!F179</f>
        <v>0.15487179487179481</v>
      </c>
      <c r="H105" s="146">
        <f>Model!G182/-Model!G179</f>
        <v>0.13735691987513005</v>
      </c>
      <c r="I105" s="146">
        <f>Model!H182/-Model!H179</f>
        <v>0.12829324169530351</v>
      </c>
      <c r="J105" s="146">
        <f>Model!I182/-Model!I179</f>
        <v>0.10518188057652714</v>
      </c>
      <c r="K105" s="74">
        <v>0.11750319302590208</v>
      </c>
      <c r="L105" s="74">
        <v>0.11591934383763576</v>
      </c>
      <c r="M105" s="18">
        <f>($Q105-$L105)/5+L105</f>
        <v>0.11902066692104638</v>
      </c>
      <c r="N105" s="18">
        <f t="shared" ref="N105:P105" si="59">($Q105-$L105)/5+M105</f>
        <v>0.12212199000445699</v>
      </c>
      <c r="O105" s="18">
        <f t="shared" si="59"/>
        <v>0.1252233130878676</v>
      </c>
      <c r="P105" s="18">
        <f t="shared" si="59"/>
        <v>0.12832463617127823</v>
      </c>
      <c r="Q105" s="194">
        <f>AVERAGE(G105:J105)</f>
        <v>0.13142595925468886</v>
      </c>
      <c r="R105" s="242">
        <f t="shared" si="57"/>
        <v>0.11591934383763576</v>
      </c>
      <c r="S105" s="243">
        <f t="shared" si="58"/>
        <v>0.11591934383763576</v>
      </c>
    </row>
    <row r="106" spans="1:19" x14ac:dyDescent="0.3">
      <c r="B106" s="15" t="s">
        <v>176</v>
      </c>
      <c r="E106" s="27"/>
      <c r="G106" s="91">
        <f>'Spectris Raw Data '!C51/'Spectris Raw Data '!C9*365</f>
        <v>46.027914982787003</v>
      </c>
      <c r="H106" s="92">
        <f>'Spectris Raw Data '!D51/'Spectris Raw Data '!D9*365</f>
        <v>58.971195184866723</v>
      </c>
      <c r="I106" s="92">
        <f>'Spectris Raw Data '!E51/'Spectris Raw Data '!E9*365</f>
        <v>72.400557480789516</v>
      </c>
      <c r="J106" s="92">
        <f>'Spectris Raw Data '!F51/'Spectris Raw Data '!F9*365</f>
        <v>58.381865857024572</v>
      </c>
      <c r="K106" s="328">
        <v>63.25120617422693</v>
      </c>
      <c r="L106" s="328">
        <v>60.183723952927814</v>
      </c>
      <c r="M106" s="62">
        <f>($Q$106-$L$106)/5+L106</f>
        <v>60.356447088248117</v>
      </c>
      <c r="N106" s="62">
        <f t="shared" ref="N106:P106" si="60">($Q$106-$L$106)/5+M106</f>
        <v>60.529170223568421</v>
      </c>
      <c r="O106" s="62">
        <f t="shared" si="60"/>
        <v>60.701893358888725</v>
      </c>
      <c r="P106" s="62">
        <f t="shared" si="60"/>
        <v>60.874616494209029</v>
      </c>
      <c r="Q106" s="329">
        <v>61.047339629529326</v>
      </c>
      <c r="R106" s="330">
        <f t="shared" si="57"/>
        <v>60.183723952927814</v>
      </c>
      <c r="S106" s="331">
        <f t="shared" si="58"/>
        <v>60.183723952927814</v>
      </c>
    </row>
    <row r="108" spans="1:19" x14ac:dyDescent="0.3">
      <c r="B108" s="11" t="s">
        <v>177</v>
      </c>
      <c r="G108" s="85">
        <f>-Model!F90/Model!F13</f>
        <v>3.0352536543422182E-2</v>
      </c>
      <c r="H108" s="86">
        <f>-Model!G90/Model!G13</f>
        <v>3.382552357993069E-2</v>
      </c>
      <c r="I108" s="86">
        <f>-Model!H90/Model!H13</f>
        <v>1.7043886282086668E-2</v>
      </c>
      <c r="J108" s="86">
        <f>-Model!I90/Model!I13</f>
        <v>3.9809039809039812E-2</v>
      </c>
      <c r="K108" s="154">
        <v>3.1568711047448003E-2</v>
      </c>
      <c r="L108" s="153">
        <f>($Q$108-$K$108)/6+K108</f>
        <v>3.3775917714114673E-2</v>
      </c>
      <c r="M108" s="153">
        <f t="shared" ref="M108:P108" si="61">($Q$108-$K$108)/6+L108</f>
        <v>3.5983124380781342E-2</v>
      </c>
      <c r="N108" s="153">
        <f t="shared" si="61"/>
        <v>3.8190331047448012E-2</v>
      </c>
      <c r="O108" s="153">
        <f t="shared" si="61"/>
        <v>4.0397537714114681E-2</v>
      </c>
      <c r="P108" s="153">
        <f t="shared" si="61"/>
        <v>4.2604744380781351E-2</v>
      </c>
      <c r="Q108" s="155">
        <v>4.4811951047448007E-2</v>
      </c>
      <c r="R108" s="240">
        <f>L108</f>
        <v>3.3775917714114673E-2</v>
      </c>
      <c r="S108" s="241">
        <f>R108</f>
        <v>3.3775917714114673E-2</v>
      </c>
    </row>
    <row r="110" spans="1:19" x14ac:dyDescent="0.3">
      <c r="B110" s="11" t="s">
        <v>178</v>
      </c>
      <c r="G110" s="85">
        <f>Model!F44/Model!F13</f>
        <v>1.4101461736887359E-2</v>
      </c>
      <c r="H110" s="86">
        <f>Model!G44/Model!G13</f>
        <v>8.7388880518306459E-3</v>
      </c>
      <c r="I110" s="86">
        <f>Model!H44/Model!H13</f>
        <v>7.6248964946177195E-2</v>
      </c>
      <c r="J110" s="86">
        <f>Model!I44/Model!I13</f>
        <v>1.4707014707014705E-2</v>
      </c>
      <c r="K110" s="154">
        <v>1.2515788165244237E-2</v>
      </c>
      <c r="L110" s="153">
        <f>($Q$110-$K$110)/6+K110</f>
        <v>1.2432454831910904E-2</v>
      </c>
      <c r="M110" s="153">
        <f t="shared" ref="M110:P110" si="62">($Q$110-$K$110)/6+L110</f>
        <v>1.2349121498577571E-2</v>
      </c>
      <c r="N110" s="153">
        <f t="shared" si="62"/>
        <v>1.2265788165244238E-2</v>
      </c>
      <c r="O110" s="153">
        <f t="shared" si="62"/>
        <v>1.2182454831910905E-2</v>
      </c>
      <c r="P110" s="153">
        <f t="shared" si="62"/>
        <v>1.2099121498577572E-2</v>
      </c>
      <c r="Q110" s="155">
        <v>1.2015788165244236E-2</v>
      </c>
      <c r="R110" s="240">
        <f>L110</f>
        <v>1.2432454831910904E-2</v>
      </c>
      <c r="S110" s="241">
        <f>R110</f>
        <v>1.2432454831910904E-2</v>
      </c>
    </row>
    <row r="112" spans="1:19" x14ac:dyDescent="0.3">
      <c r="B112" s="11" t="s">
        <v>179</v>
      </c>
      <c r="G112" s="85">
        <f>Model!F195/Model!F178</f>
        <v>5.4600171969045576E-2</v>
      </c>
      <c r="H112" s="86">
        <f>Model!G195/Model!G178</f>
        <v>3.3298176887147805E-2</v>
      </c>
      <c r="I112" s="86">
        <f>Model!H195/Model!H178</f>
        <v>3.6847916091636762E-2</v>
      </c>
      <c r="J112" s="86">
        <f>Model!I195/Model!I178</f>
        <v>3.9501039501039496E-2</v>
      </c>
      <c r="K112" s="154">
        <v>4.1061826112217412E-2</v>
      </c>
      <c r="L112" s="153">
        <f>($Q$112-$K$112)/6+K112</f>
        <v>4.0395159445550742E-2</v>
      </c>
      <c r="M112" s="153">
        <f t="shared" ref="M112:P112" si="63">($Q$112-$K$112)/6+L112</f>
        <v>3.9728492778884072E-2</v>
      </c>
      <c r="N112" s="153">
        <f t="shared" si="63"/>
        <v>3.9061826112217403E-2</v>
      </c>
      <c r="O112" s="153">
        <f t="shared" si="63"/>
        <v>3.8395159445550733E-2</v>
      </c>
      <c r="P112" s="153">
        <f t="shared" si="63"/>
        <v>3.7728492778884064E-2</v>
      </c>
      <c r="Q112" s="155">
        <v>3.7061826112217394E-2</v>
      </c>
      <c r="R112" s="240">
        <f>L112</f>
        <v>4.0395159445550742E-2</v>
      </c>
      <c r="S112" s="241">
        <f>R112</f>
        <v>4.0395159445550742E-2</v>
      </c>
    </row>
    <row r="114" spans="1:19" s="9" customFormat="1" ht="21" x14ac:dyDescent="0.4">
      <c r="A114" t="s">
        <v>3</v>
      </c>
      <c r="B114" s="9" t="s">
        <v>180</v>
      </c>
    </row>
    <row r="116" spans="1:19" ht="15" thickBot="1" x14ac:dyDescent="0.35">
      <c r="H116" s="83">
        <v>2022</v>
      </c>
      <c r="I116" s="83">
        <v>2023</v>
      </c>
      <c r="J116" s="83">
        <v>2024</v>
      </c>
      <c r="K116" s="80">
        <v>2025</v>
      </c>
      <c r="L116" s="80">
        <v>2026</v>
      </c>
      <c r="M116" s="80">
        <v>2027</v>
      </c>
      <c r="N116" s="80">
        <v>2028</v>
      </c>
      <c r="O116" s="80">
        <v>2029</v>
      </c>
      <c r="P116" s="80">
        <v>2030</v>
      </c>
      <c r="Q116" s="80">
        <v>2031</v>
      </c>
    </row>
    <row r="118" spans="1:19" x14ac:dyDescent="0.3">
      <c r="B118" s="11" t="s">
        <v>181</v>
      </c>
      <c r="H118" s="186">
        <v>4.7199999999999999E-2</v>
      </c>
      <c r="I118" s="182">
        <v>4.7199999999999999E-2</v>
      </c>
      <c r="J118" s="182">
        <v>4.7199999999999999E-2</v>
      </c>
      <c r="K118" s="182">
        <v>4.7199999999999999E-2</v>
      </c>
      <c r="L118" s="182">
        <v>4.7199999999999999E-2</v>
      </c>
      <c r="M118" s="182">
        <v>4.7199999999999999E-2</v>
      </c>
      <c r="N118" s="182">
        <v>4.7199999999999999E-2</v>
      </c>
      <c r="O118" s="182">
        <v>4.7199999999999999E-2</v>
      </c>
      <c r="P118" s="182">
        <v>4.7199999999999999E-2</v>
      </c>
      <c r="Q118" s="185">
        <v>4.7199999999999999E-2</v>
      </c>
    </row>
    <row r="120" spans="1:19" x14ac:dyDescent="0.3">
      <c r="B120" s="11" t="s">
        <v>182</v>
      </c>
      <c r="H120" s="186">
        <v>4.2500000000000003E-2</v>
      </c>
      <c r="I120" s="182">
        <v>5.5E-2</v>
      </c>
      <c r="J120" s="182">
        <v>4.4999999999999998E-2</v>
      </c>
      <c r="K120" s="182">
        <v>3.7499999999999999E-2</v>
      </c>
      <c r="L120" s="182">
        <v>0.03</v>
      </c>
      <c r="M120" s="182">
        <v>0.03</v>
      </c>
      <c r="N120" s="182">
        <v>3.2500000000000001E-2</v>
      </c>
      <c r="O120" s="182">
        <v>3.5000000000000003E-2</v>
      </c>
      <c r="P120" s="182">
        <v>3.5000000000000003E-2</v>
      </c>
      <c r="Q120" s="185">
        <v>3.7499999999999999E-2</v>
      </c>
    </row>
    <row r="121" spans="1:19" x14ac:dyDescent="0.3">
      <c r="A121" t="s">
        <v>183</v>
      </c>
    </row>
    <row r="122" spans="1:19" x14ac:dyDescent="0.3">
      <c r="B122" s="11" t="s">
        <v>184</v>
      </c>
      <c r="H122" s="186">
        <v>0.02</v>
      </c>
      <c r="I122" s="182">
        <v>0.04</v>
      </c>
      <c r="J122" s="182">
        <v>0.03</v>
      </c>
      <c r="K122" s="182">
        <v>0.02</v>
      </c>
      <c r="L122" s="182">
        <v>0.02</v>
      </c>
      <c r="M122" s="182">
        <v>0.02</v>
      </c>
      <c r="N122" s="182">
        <v>2.2499999999999999E-2</v>
      </c>
      <c r="O122" s="182">
        <v>2.5000000000000001E-2</v>
      </c>
      <c r="P122" s="182">
        <v>2.5000000000000001E-2</v>
      </c>
      <c r="Q122" s="185">
        <v>2.75E-2</v>
      </c>
    </row>
    <row r="124" spans="1:19" x14ac:dyDescent="0.3">
      <c r="B124" s="11" t="s">
        <v>185</v>
      </c>
      <c r="H124" s="186">
        <v>5.1900000000000002E-2</v>
      </c>
      <c r="I124" s="182">
        <v>4.7E-2</v>
      </c>
      <c r="J124" s="182">
        <v>4.2000000000000003E-2</v>
      </c>
      <c r="K124" s="182">
        <v>0.04</v>
      </c>
      <c r="L124" s="182">
        <v>3.6999999999999998E-2</v>
      </c>
      <c r="M124" s="182">
        <v>3.4000000000000002E-2</v>
      </c>
      <c r="N124" s="182">
        <v>3.5999999999999997E-2</v>
      </c>
      <c r="O124" s="182">
        <v>3.7999999999999999E-2</v>
      </c>
      <c r="P124" s="182">
        <v>0.04</v>
      </c>
      <c r="Q124" s="185">
        <v>4.1500000000000002E-2</v>
      </c>
      <c r="R124" s="240">
        <f>L124</f>
        <v>3.6999999999999998E-2</v>
      </c>
      <c r="S124" s="241">
        <f>R124</f>
        <v>3.6999999999999998E-2</v>
      </c>
    </row>
    <row r="126" spans="1:19" x14ac:dyDescent="0.3">
      <c r="B126" s="11" t="s">
        <v>186</v>
      </c>
    </row>
    <row r="127" spans="1:19" x14ac:dyDescent="0.3">
      <c r="B127" s="15" t="s">
        <v>187</v>
      </c>
      <c r="C127" s="176">
        <f>'Transaction Details'!I44</f>
        <v>300</v>
      </c>
      <c r="H127" s="178"/>
      <c r="I127" s="168"/>
      <c r="J127" s="168"/>
      <c r="K127" s="183">
        <f>K122+($C127/100)%</f>
        <v>0.05</v>
      </c>
      <c r="L127" s="183">
        <f t="shared" ref="L127:Q127" si="64">L122+($C127/100)%</f>
        <v>0.05</v>
      </c>
      <c r="M127" s="183">
        <f t="shared" si="64"/>
        <v>0.05</v>
      </c>
      <c r="N127" s="183">
        <f t="shared" si="64"/>
        <v>5.2499999999999998E-2</v>
      </c>
      <c r="O127" s="183">
        <f t="shared" si="64"/>
        <v>5.5E-2</v>
      </c>
      <c r="P127" s="183">
        <f t="shared" si="64"/>
        <v>5.5E-2</v>
      </c>
      <c r="Q127" s="187">
        <f t="shared" si="64"/>
        <v>5.7499999999999996E-2</v>
      </c>
    </row>
    <row r="128" spans="1:19" x14ac:dyDescent="0.3">
      <c r="B128" s="15" t="s">
        <v>188</v>
      </c>
      <c r="C128" s="176">
        <f>+'Transaction Details'!I44</f>
        <v>300</v>
      </c>
      <c r="H128" s="179"/>
      <c r="I128" s="180"/>
      <c r="J128" s="180"/>
      <c r="K128" s="184">
        <f>K120+($C$128/100)%</f>
        <v>6.7500000000000004E-2</v>
      </c>
      <c r="L128" s="184">
        <f t="shared" ref="L128:Q128" si="65">L120+($C$128/100)%</f>
        <v>0.06</v>
      </c>
      <c r="M128" s="184">
        <f t="shared" si="65"/>
        <v>0.06</v>
      </c>
      <c r="N128" s="184">
        <f t="shared" si="65"/>
        <v>6.25E-2</v>
      </c>
      <c r="O128" s="184">
        <f t="shared" si="65"/>
        <v>6.5000000000000002E-2</v>
      </c>
      <c r="P128" s="184">
        <f t="shared" si="65"/>
        <v>6.5000000000000002E-2</v>
      </c>
      <c r="Q128" s="188">
        <f t="shared" si="65"/>
        <v>6.7500000000000004E-2</v>
      </c>
    </row>
    <row r="130" spans="2:17" x14ac:dyDescent="0.3">
      <c r="B130" s="11" t="s">
        <v>19</v>
      </c>
    </row>
    <row r="131" spans="2:17" x14ac:dyDescent="0.3">
      <c r="B131" s="15" t="s">
        <v>123</v>
      </c>
      <c r="C131" s="176">
        <f>'Transaction Details'!I45</f>
        <v>325</v>
      </c>
      <c r="H131" s="181"/>
      <c r="I131" s="170"/>
      <c r="J131" s="170"/>
      <c r="K131" s="177">
        <f>K122+($C$131/100)%</f>
        <v>5.2500000000000005E-2</v>
      </c>
      <c r="L131" s="177">
        <f t="shared" ref="L131:Q131" si="66">L122+($C$131/100)%</f>
        <v>5.2500000000000005E-2</v>
      </c>
      <c r="M131" s="177">
        <f t="shared" si="66"/>
        <v>5.2500000000000005E-2</v>
      </c>
      <c r="N131" s="177">
        <f t="shared" si="66"/>
        <v>5.5E-2</v>
      </c>
      <c r="O131" s="177">
        <f t="shared" si="66"/>
        <v>5.7500000000000002E-2</v>
      </c>
      <c r="P131" s="177">
        <f t="shared" si="66"/>
        <v>5.7500000000000002E-2</v>
      </c>
      <c r="Q131" s="189">
        <f t="shared" si="66"/>
        <v>0.06</v>
      </c>
    </row>
    <row r="133" spans="2:17" x14ac:dyDescent="0.3">
      <c r="B133" s="11" t="s">
        <v>22</v>
      </c>
    </row>
    <row r="134" spans="2:17" x14ac:dyDescent="0.3">
      <c r="B134" s="15" t="s">
        <v>123</v>
      </c>
      <c r="C134" s="176">
        <f>'Transaction Details'!I46</f>
        <v>275</v>
      </c>
      <c r="H134" s="181"/>
      <c r="I134" s="170"/>
      <c r="J134" s="170"/>
      <c r="K134" s="177">
        <f>K120+($C$134/100)%</f>
        <v>6.5000000000000002E-2</v>
      </c>
      <c r="L134" s="177">
        <f t="shared" ref="L134:Q134" si="67">L120+($C$134/100)%</f>
        <v>5.7499999999999996E-2</v>
      </c>
      <c r="M134" s="177">
        <f t="shared" si="67"/>
        <v>5.7499999999999996E-2</v>
      </c>
      <c r="N134" s="177">
        <f t="shared" si="67"/>
        <v>0.06</v>
      </c>
      <c r="O134" s="177">
        <f t="shared" si="67"/>
        <v>6.25E-2</v>
      </c>
      <c r="P134" s="177">
        <f t="shared" si="67"/>
        <v>6.25E-2</v>
      </c>
      <c r="Q134" s="189">
        <f t="shared" si="67"/>
        <v>6.5000000000000002E-2</v>
      </c>
    </row>
    <row r="136" spans="2:17" x14ac:dyDescent="0.3">
      <c r="B136" s="11" t="s">
        <v>112</v>
      </c>
      <c r="H136" s="181"/>
      <c r="I136" s="170"/>
      <c r="J136" s="170"/>
      <c r="K136" s="198">
        <f>-Model!J18/4</f>
        <v>32.219122063217057</v>
      </c>
      <c r="L136" s="198">
        <f>-Model!K18/4</f>
        <v>32.833877599257598</v>
      </c>
      <c r="M136" s="198">
        <f>-Model!L18/4</f>
        <v>33.901832040124035</v>
      </c>
      <c r="N136" s="198">
        <f>-Model!M18/4</f>
        <v>35.233565576390717</v>
      </c>
      <c r="O136" s="198">
        <f>-Model!N18/4</f>
        <v>36.564883803777114</v>
      </c>
      <c r="P136" s="198">
        <f>-Model!O18/4</f>
        <v>37.884045519729966</v>
      </c>
      <c r="Q136" s="199">
        <f>-Model!P18/4</f>
        <v>39.178798817226244</v>
      </c>
    </row>
    <row r="138" spans="2:17" x14ac:dyDescent="0.3">
      <c r="B138" s="11" t="s">
        <v>189</v>
      </c>
      <c r="H138" s="181"/>
      <c r="I138" s="170"/>
      <c r="J138" s="170"/>
      <c r="K138" s="346">
        <v>0</v>
      </c>
      <c r="L138" s="159">
        <f ca="1">SUM('Transaction Details'!M27:M28)/C139</f>
        <v>5.9128261599069365</v>
      </c>
      <c r="M138" s="162">
        <f ca="1">L138</f>
        <v>5.9128261599069365</v>
      </c>
      <c r="N138" s="162">
        <f ca="1">M138</f>
        <v>5.9128261599069365</v>
      </c>
      <c r="O138" s="162">
        <f ca="1">N138</f>
        <v>5.9128261599069365</v>
      </c>
      <c r="P138" s="162">
        <f ca="1">O138</f>
        <v>5.9128261599069365</v>
      </c>
      <c r="Q138" s="259">
        <f ca="1">P138</f>
        <v>5.9128261599069365</v>
      </c>
    </row>
    <row r="139" spans="2:17" x14ac:dyDescent="0.3">
      <c r="B139" t="s">
        <v>190</v>
      </c>
      <c r="C139" s="345">
        <v>10</v>
      </c>
    </row>
    <row r="195" spans="2:17" s="164" customFormat="1" x14ac:dyDescent="0.3">
      <c r="B195"/>
      <c r="C195"/>
      <c r="D195"/>
      <c r="E195"/>
      <c r="F195"/>
      <c r="G195"/>
      <c r="H195"/>
      <c r="I195"/>
      <c r="J195"/>
      <c r="K195"/>
      <c r="L195"/>
      <c r="M195"/>
      <c r="N195"/>
      <c r="O195"/>
      <c r="P195"/>
      <c r="Q195"/>
    </row>
  </sheetData>
  <sortState xmlns:xlrd2="http://schemas.microsoft.com/office/spreadsheetml/2017/richdata2" ref="K75:L75">
    <sortCondition ref="K75"/>
  </sortState>
  <dataValidations disablePrompts="1" count="1">
    <dataValidation type="list" allowBlank="1" showInputMessage="1" showErrorMessage="1" sqref="D5" xr:uid="{81155145-FE1E-45A8-A83F-3E27505D9C39}">
      <formula1>"1,2,3"</formula1>
    </dataValidation>
  </dataValidations>
  <pageMargins left="0.7" right="0.7" top="0.75" bottom="0.75" header="0.3" footer="0.3"/>
  <pageSetup paperSize="9" orientation="portrait"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8C5CB-0E95-43B2-BC1D-CC474D4D2313}">
  <dimension ref="A2:T433"/>
  <sheetViews>
    <sheetView showGridLines="0" topLeftCell="A2" zoomScale="59" zoomScaleNormal="85" workbookViewId="0">
      <pane ySplit="6" topLeftCell="A8" activePane="bottomLeft" state="frozen"/>
      <selection activeCell="A2" sqref="A2"/>
      <selection pane="bottomLeft" activeCell="B9" sqref="B9"/>
    </sheetView>
  </sheetViews>
  <sheetFormatPr defaultColWidth="15.6640625" defaultRowHeight="14.4" x14ac:dyDescent="0.3"/>
  <cols>
    <col min="1" max="1" width="4.6640625" customWidth="1"/>
    <col min="2" max="2" width="16.33203125" customWidth="1"/>
  </cols>
  <sheetData>
    <row r="2" spans="1:20" x14ac:dyDescent="0.3">
      <c r="F2" s="203"/>
      <c r="G2" s="203"/>
      <c r="H2" s="203"/>
      <c r="I2" s="203"/>
      <c r="J2" s="323" t="s">
        <v>147</v>
      </c>
      <c r="K2" s="324"/>
      <c r="L2" s="324"/>
      <c r="M2" s="323"/>
      <c r="N2" s="324"/>
      <c r="O2" s="324"/>
      <c r="P2" s="324"/>
      <c r="Q2" s="321" t="s">
        <v>191</v>
      </c>
      <c r="R2" s="322"/>
    </row>
    <row r="3" spans="1:20" x14ac:dyDescent="0.3">
      <c r="F3" s="204">
        <v>2021</v>
      </c>
      <c r="G3" s="204">
        <v>2022</v>
      </c>
      <c r="H3" s="204">
        <v>2023</v>
      </c>
      <c r="I3" s="204">
        <v>2024</v>
      </c>
      <c r="J3" s="79">
        <v>2025</v>
      </c>
      <c r="K3" s="79">
        <v>2026</v>
      </c>
      <c r="L3" s="79">
        <v>2027</v>
      </c>
      <c r="M3" s="79">
        <v>2028</v>
      </c>
      <c r="N3" s="79">
        <v>2029</v>
      </c>
      <c r="O3" s="79">
        <v>2030</v>
      </c>
      <c r="P3" s="79">
        <v>2031</v>
      </c>
      <c r="Q3" s="256">
        <f>'Transaction Details'!F29</f>
        <v>46112</v>
      </c>
      <c r="R3" s="256">
        <f>'Transaction Details'!F28+365</f>
        <v>46387</v>
      </c>
    </row>
    <row r="5" spans="1:20" x14ac:dyDescent="0.3">
      <c r="B5" s="93" t="s">
        <v>192</v>
      </c>
      <c r="F5" s="233">
        <v>44561</v>
      </c>
      <c r="G5" s="232">
        <f>EOMONTH(F5,12)</f>
        <v>44926</v>
      </c>
      <c r="H5" s="232">
        <f t="shared" ref="H5:P5" si="0">EOMONTH(G5,12)</f>
        <v>45291</v>
      </c>
      <c r="I5" s="232">
        <f t="shared" si="0"/>
        <v>45657</v>
      </c>
      <c r="J5" s="232">
        <f t="shared" si="0"/>
        <v>46022</v>
      </c>
      <c r="K5" s="232">
        <f t="shared" si="0"/>
        <v>46387</v>
      </c>
      <c r="L5" s="232">
        <f t="shared" si="0"/>
        <v>46752</v>
      </c>
      <c r="M5" s="232">
        <f t="shared" si="0"/>
        <v>47118</v>
      </c>
      <c r="N5" s="232">
        <f t="shared" si="0"/>
        <v>47483</v>
      </c>
      <c r="O5" s="232">
        <f t="shared" si="0"/>
        <v>47848</v>
      </c>
      <c r="P5" s="232">
        <f t="shared" si="0"/>
        <v>48213</v>
      </c>
      <c r="Q5" s="232">
        <f>EOMONTH(J5,12*Q7)</f>
        <v>46112</v>
      </c>
      <c r="R5" s="232">
        <f>EOMONTH(Q5,12*R7)</f>
        <v>46387</v>
      </c>
    </row>
    <row r="6" spans="1:20" x14ac:dyDescent="0.3">
      <c r="B6" s="93" t="s">
        <v>110</v>
      </c>
      <c r="F6" s="234">
        <v>365</v>
      </c>
      <c r="G6" s="93">
        <f>F6</f>
        <v>365</v>
      </c>
      <c r="H6" s="93">
        <f t="shared" ref="H6:P6" si="1">G6</f>
        <v>365</v>
      </c>
      <c r="I6" s="93">
        <f t="shared" si="1"/>
        <v>365</v>
      </c>
      <c r="J6" s="93">
        <f t="shared" si="1"/>
        <v>365</v>
      </c>
      <c r="K6" s="93">
        <f t="shared" si="1"/>
        <v>365</v>
      </c>
      <c r="L6" s="93">
        <f t="shared" si="1"/>
        <v>365</v>
      </c>
      <c r="M6" s="93">
        <f t="shared" si="1"/>
        <v>365</v>
      </c>
      <c r="N6" s="93">
        <f t="shared" si="1"/>
        <v>365</v>
      </c>
      <c r="O6" s="93">
        <f t="shared" si="1"/>
        <v>365</v>
      </c>
      <c r="P6" s="93">
        <f t="shared" si="1"/>
        <v>365</v>
      </c>
      <c r="Q6" s="237">
        <f>Q7*365</f>
        <v>91.25</v>
      </c>
      <c r="R6" s="237">
        <f>R7*365</f>
        <v>273.75</v>
      </c>
    </row>
    <row r="7" spans="1:20" x14ac:dyDescent="0.3">
      <c r="B7" s="93" t="s">
        <v>193</v>
      </c>
      <c r="F7" s="234">
        <v>1</v>
      </c>
      <c r="G7" s="93">
        <f>YEARFRAC(F5,G5)</f>
        <v>1</v>
      </c>
      <c r="H7" s="93">
        <f t="shared" ref="H7:P7" si="2">YEARFRAC(G5,H5)</f>
        <v>1</v>
      </c>
      <c r="I7" s="93">
        <f t="shared" si="2"/>
        <v>1</v>
      </c>
      <c r="J7" s="93">
        <f t="shared" si="2"/>
        <v>1</v>
      </c>
      <c r="K7" s="93">
        <f t="shared" si="2"/>
        <v>1</v>
      </c>
      <c r="L7" s="93">
        <f t="shared" si="2"/>
        <v>1</v>
      </c>
      <c r="M7" s="93">
        <f t="shared" si="2"/>
        <v>1</v>
      </c>
      <c r="N7" s="93">
        <f t="shared" si="2"/>
        <v>1</v>
      </c>
      <c r="O7" s="93">
        <f t="shared" si="2"/>
        <v>1</v>
      </c>
      <c r="P7" s="93">
        <f t="shared" si="2"/>
        <v>1</v>
      </c>
      <c r="Q7" s="235">
        <f>'Transaction Details'!F36</f>
        <v>0.25</v>
      </c>
      <c r="R7" s="236">
        <f>'Transaction Details'!F37</f>
        <v>0.75</v>
      </c>
    </row>
    <row r="8" spans="1:20" x14ac:dyDescent="0.3">
      <c r="B8" s="93"/>
    </row>
    <row r="9" spans="1:20" s="8" customFormat="1" ht="21" x14ac:dyDescent="0.4">
      <c r="A9" t="s">
        <v>3</v>
      </c>
      <c r="B9" s="9" t="s">
        <v>194</v>
      </c>
    </row>
    <row r="11" spans="1:20" ht="15" thickBot="1" x14ac:dyDescent="0.35">
      <c r="B11" s="23" t="s">
        <v>195</v>
      </c>
      <c r="F11" s="83">
        <v>2021</v>
      </c>
      <c r="G11" s="83">
        <v>2022</v>
      </c>
      <c r="H11" s="83">
        <v>2023</v>
      </c>
      <c r="I11" s="83">
        <v>2024</v>
      </c>
      <c r="J11" s="80">
        <v>2025</v>
      </c>
      <c r="K11" s="80">
        <v>2026</v>
      </c>
      <c r="L11" s="80">
        <v>2027</v>
      </c>
      <c r="M11" s="80">
        <v>2028</v>
      </c>
      <c r="N11" s="80">
        <v>2029</v>
      </c>
      <c r="O11" s="80">
        <v>2030</v>
      </c>
      <c r="P11" s="80">
        <v>2031</v>
      </c>
      <c r="Q11" s="238">
        <v>2026</v>
      </c>
      <c r="R11" s="238">
        <v>2026</v>
      </c>
    </row>
    <row r="12" spans="1:20" x14ac:dyDescent="0.3">
      <c r="F12" s="94"/>
      <c r="G12" s="94"/>
      <c r="H12" s="94"/>
      <c r="I12" s="94"/>
      <c r="J12" s="95"/>
      <c r="K12" s="95"/>
      <c r="L12" s="95"/>
      <c r="M12" s="95"/>
      <c r="N12" s="95"/>
      <c r="O12" s="95"/>
      <c r="P12" s="95"/>
    </row>
    <row r="13" spans="1:20" x14ac:dyDescent="0.3">
      <c r="B13" t="s">
        <v>67</v>
      </c>
      <c r="F13" s="107">
        <f>SUM('Spectris Raw Data '!D9)</f>
        <v>1163</v>
      </c>
      <c r="G13" s="107">
        <f>SUM('Spectris Raw Data '!E9)</f>
        <v>1327.4</v>
      </c>
      <c r="H13" s="107">
        <f>SUM('Spectris Raw Data '!F9)</f>
        <v>1449.2</v>
      </c>
      <c r="I13" s="107">
        <f>SUM('Spectris Raw Data '!G9)</f>
        <v>1298.7</v>
      </c>
      <c r="J13" s="97">
        <f>J146</f>
        <v>1490.39978</v>
      </c>
      <c r="K13" s="97">
        <f t="shared" ref="K13:O13" si="3">K146</f>
        <v>1553.1775401</v>
      </c>
      <c r="L13" s="97">
        <f t="shared" si="3"/>
        <v>1640.7938175825002</v>
      </c>
      <c r="M13" s="97">
        <f t="shared" si="3"/>
        <v>1745.6284637163076</v>
      </c>
      <c r="N13" s="97">
        <f t="shared" si="3"/>
        <v>1855.5275073723451</v>
      </c>
      <c r="O13" s="97">
        <f t="shared" si="3"/>
        <v>1970.2579839321879</v>
      </c>
      <c r="P13" s="97">
        <f>P146</f>
        <v>2089.5359369187331</v>
      </c>
      <c r="Q13" s="249">
        <f>$K13*Q$7</f>
        <v>388.294385025</v>
      </c>
      <c r="R13" s="97">
        <f>$K13*R$7</f>
        <v>1164.8831550750001</v>
      </c>
      <c r="S13" s="97"/>
      <c r="T13" s="97"/>
    </row>
    <row r="14" spans="1:20" x14ac:dyDescent="0.3">
      <c r="B14" t="s">
        <v>196</v>
      </c>
      <c r="F14" s="107">
        <f>'Spectris Raw Data '!D11</f>
        <v>-487.5</v>
      </c>
      <c r="G14" s="107">
        <f>'Spectris Raw Data '!E11</f>
        <v>-576.6</v>
      </c>
      <c r="H14" s="107">
        <f>'Spectris Raw Data '!F11</f>
        <v>-611.1</v>
      </c>
      <c r="I14" s="107">
        <f>'Spectris Raw Data '!G11</f>
        <v>-582.79999999999995</v>
      </c>
      <c r="J14" s="97">
        <f>J156</f>
        <v>-662.70385465730783</v>
      </c>
      <c r="K14" s="97">
        <f t="shared" ref="K14:O14" si="4">K156</f>
        <v>-684.23733137168063</v>
      </c>
      <c r="L14" s="97">
        <f t="shared" si="4"/>
        <v>-716.09534814762674</v>
      </c>
      <c r="M14" s="97">
        <f t="shared" si="4"/>
        <v>-754.67741567427345</v>
      </c>
      <c r="N14" s="97">
        <f t="shared" si="4"/>
        <v>-794.56680500550908</v>
      </c>
      <c r="O14" s="97">
        <f t="shared" si="4"/>
        <v>-835.60229935893778</v>
      </c>
      <c r="P14" s="97">
        <f>P156</f>
        <v>-877.6050935058679</v>
      </c>
      <c r="Q14" s="249">
        <f>$K14*Q$7</f>
        <v>-171.05933284292016</v>
      </c>
      <c r="R14" s="97">
        <f>$K14*R$7</f>
        <v>-513.17799852876044</v>
      </c>
      <c r="S14" s="97"/>
      <c r="T14" s="97"/>
    </row>
    <row r="15" spans="1:20" x14ac:dyDescent="0.3">
      <c r="B15" s="11" t="s">
        <v>197</v>
      </c>
      <c r="F15" s="98">
        <f t="shared" ref="F15:H15" si="5">SUM(F13:F14)</f>
        <v>675.5</v>
      </c>
      <c r="G15" s="98">
        <f t="shared" si="5"/>
        <v>750.80000000000007</v>
      </c>
      <c r="H15" s="98">
        <f t="shared" si="5"/>
        <v>838.1</v>
      </c>
      <c r="I15" s="98">
        <f t="shared" ref="I15" si="6">SUM(I13:I14)</f>
        <v>715.90000000000009</v>
      </c>
      <c r="J15" s="98">
        <f>SUM(J13:J14)</f>
        <v>827.69592534269214</v>
      </c>
      <c r="K15" s="98">
        <f t="shared" ref="K15" si="7">SUM(K13:K14)</f>
        <v>868.94020872831936</v>
      </c>
      <c r="L15" s="98">
        <f t="shared" ref="L15" si="8">SUM(L13:L14)</f>
        <v>924.69846943487346</v>
      </c>
      <c r="M15" s="98">
        <f t="shared" ref="M15" si="9">SUM(M13:M14)</f>
        <v>990.95104804203413</v>
      </c>
      <c r="N15" s="98">
        <f t="shared" ref="N15" si="10">SUM(N13:N14)</f>
        <v>1060.9607023668359</v>
      </c>
      <c r="O15" s="98">
        <f t="shared" ref="O15" si="11">SUM(O13:O14)</f>
        <v>1134.6556845732503</v>
      </c>
      <c r="P15" s="98">
        <f t="shared" ref="P15:R15" si="12">SUM(P13:P14)</f>
        <v>1211.9308434128652</v>
      </c>
      <c r="Q15" s="252">
        <f t="shared" si="12"/>
        <v>217.23505218207984</v>
      </c>
      <c r="R15" s="98">
        <f t="shared" si="12"/>
        <v>651.70515654623966</v>
      </c>
      <c r="S15" s="97"/>
      <c r="T15" s="97"/>
    </row>
    <row r="16" spans="1:20" x14ac:dyDescent="0.3">
      <c r="F16" s="97"/>
      <c r="G16" s="97"/>
      <c r="H16" s="97"/>
      <c r="I16" s="97"/>
      <c r="Q16" s="248"/>
      <c r="S16" s="97"/>
      <c r="T16" s="97"/>
    </row>
    <row r="17" spans="2:20" x14ac:dyDescent="0.3">
      <c r="B17" t="s">
        <v>198</v>
      </c>
      <c r="F17" s="107">
        <v>-392.7</v>
      </c>
      <c r="G17" s="107">
        <v>-403</v>
      </c>
      <c r="H17" s="107">
        <v>-464.90000000000003</v>
      </c>
      <c r="I17" s="107">
        <v>-445</v>
      </c>
      <c r="J17" s="97">
        <f>J165</f>
        <v>-475.04577084777071</v>
      </c>
      <c r="K17" s="97">
        <f t="shared" ref="K17:O17" si="13">K165</f>
        <v>-488.39811876645865</v>
      </c>
      <c r="L17" s="97">
        <f t="shared" si="13"/>
        <v>-516.73325123943164</v>
      </c>
      <c r="M17" s="97">
        <f t="shared" si="13"/>
        <v>-550.63680970266341</v>
      </c>
      <c r="N17" s="97">
        <f t="shared" si="13"/>
        <v>-586.17819596241225</v>
      </c>
      <c r="O17" s="97">
        <f t="shared" si="13"/>
        <v>-623.28206918573858</v>
      </c>
      <c r="P17" s="97">
        <f>P165</f>
        <v>-661.85659775611589</v>
      </c>
      <c r="Q17" s="249">
        <f>$K17*Q$7</f>
        <v>-122.09952969161466</v>
      </c>
      <c r="R17" s="97">
        <f>$K17*R$7</f>
        <v>-366.29858907484402</v>
      </c>
      <c r="S17" s="97"/>
      <c r="T17" s="97"/>
    </row>
    <row r="18" spans="2:20" x14ac:dyDescent="0.3">
      <c r="B18" t="s">
        <v>199</v>
      </c>
      <c r="F18" s="107">
        <f>'Spectris Raw Data '!D14</f>
        <v>-92.6</v>
      </c>
      <c r="G18" s="107">
        <f>'Spectris Raw Data '!E14</f>
        <v>-114.1</v>
      </c>
      <c r="H18" s="107">
        <f>'Spectris Raw Data '!F14</f>
        <v>-126.9</v>
      </c>
      <c r="I18" s="107">
        <f>'Spectris Raw Data '!G14</f>
        <v>-112.3</v>
      </c>
      <c r="J18" s="97">
        <f>J168</f>
        <v>-128.87648825286823</v>
      </c>
      <c r="K18" s="97">
        <f>K168</f>
        <v>-131.33551039703039</v>
      </c>
      <c r="L18" s="97">
        <f t="shared" ref="L18:O18" si="14">L168</f>
        <v>-135.60732816049614</v>
      </c>
      <c r="M18" s="97">
        <f t="shared" si="14"/>
        <v>-140.93426230556287</v>
      </c>
      <c r="N18" s="97">
        <f t="shared" si="14"/>
        <v>-146.25953521510846</v>
      </c>
      <c r="O18" s="97">
        <f t="shared" si="14"/>
        <v>-151.53618207891986</v>
      </c>
      <c r="P18" s="97">
        <f>P168</f>
        <v>-156.71519526890498</v>
      </c>
      <c r="Q18" s="249">
        <f>$K18*Q$7</f>
        <v>-32.833877599257598</v>
      </c>
      <c r="R18" s="97">
        <f>$K18*R$7</f>
        <v>-98.5016327977728</v>
      </c>
      <c r="S18" s="97"/>
      <c r="T18" s="97"/>
    </row>
    <row r="19" spans="2:20" x14ac:dyDescent="0.3">
      <c r="B19" s="11" t="s">
        <v>18</v>
      </c>
      <c r="F19" s="98">
        <f>SUM(F17:F18,F15)</f>
        <v>190.20000000000005</v>
      </c>
      <c r="G19" s="98">
        <f t="shared" ref="G19:H19" si="15">SUM(G17:G18,G15)</f>
        <v>233.70000000000005</v>
      </c>
      <c r="H19" s="98">
        <f t="shared" si="15"/>
        <v>246.29999999999995</v>
      </c>
      <c r="I19" s="98">
        <f t="shared" ref="I19" si="16">SUM(I17:I18,I15)</f>
        <v>158.60000000000014</v>
      </c>
      <c r="J19" s="98">
        <f>SUM(J17:J18,J15)</f>
        <v>223.7736662420532</v>
      </c>
      <c r="K19" s="98">
        <f t="shared" ref="K19:R19" si="17">SUM(K17:K18,K15)</f>
        <v>249.20657956483035</v>
      </c>
      <c r="L19" s="98">
        <f t="shared" si="17"/>
        <v>272.35789003494574</v>
      </c>
      <c r="M19" s="98">
        <f t="shared" si="17"/>
        <v>299.37997603380779</v>
      </c>
      <c r="N19" s="98">
        <f t="shared" si="17"/>
        <v>328.52297118931517</v>
      </c>
      <c r="O19" s="98">
        <f t="shared" si="17"/>
        <v>359.83743330859181</v>
      </c>
      <c r="P19" s="98">
        <f t="shared" si="17"/>
        <v>393.35905038784438</v>
      </c>
      <c r="Q19" s="252">
        <f t="shared" si="17"/>
        <v>62.301644891207587</v>
      </c>
      <c r="R19" s="98">
        <f t="shared" si="17"/>
        <v>186.90493467362285</v>
      </c>
      <c r="S19" s="97"/>
      <c r="T19" s="97"/>
    </row>
    <row r="20" spans="2:20" x14ac:dyDescent="0.3">
      <c r="B20" s="93" t="s">
        <v>200</v>
      </c>
      <c r="F20" s="96"/>
      <c r="G20" s="96"/>
      <c r="H20" s="96"/>
      <c r="I20" s="96"/>
      <c r="Q20" s="248"/>
      <c r="S20" s="97"/>
      <c r="T20" s="97"/>
    </row>
    <row r="21" spans="2:20" x14ac:dyDescent="0.3">
      <c r="F21" s="96"/>
      <c r="G21" s="96"/>
      <c r="H21" s="96"/>
      <c r="I21" s="96"/>
      <c r="Q21" s="248"/>
      <c r="S21" s="97"/>
      <c r="T21" s="97"/>
    </row>
    <row r="22" spans="2:20" x14ac:dyDescent="0.3">
      <c r="B22" t="s">
        <v>201</v>
      </c>
      <c r="F22" s="108">
        <v>-50.3</v>
      </c>
      <c r="G22" s="108">
        <v>-61.1</v>
      </c>
      <c r="H22" s="108">
        <v>-57.7</v>
      </c>
      <c r="I22" s="108">
        <v>-61</v>
      </c>
      <c r="J22" s="97">
        <f>J222</f>
        <v>-68.480751166425335</v>
      </c>
      <c r="K22" s="97">
        <f t="shared" ref="K22:O22" si="18">K222</f>
        <v>-69.77769374448539</v>
      </c>
      <c r="L22" s="97">
        <f t="shared" si="18"/>
        <v>-72.036802102344993</v>
      </c>
      <c r="M22" s="97">
        <f t="shared" si="18"/>
        <v>-74.855147626479663</v>
      </c>
      <c r="N22" s="97">
        <f t="shared" si="18"/>
        <v>-77.671174267888802</v>
      </c>
      <c r="O22" s="97">
        <f t="shared" si="18"/>
        <v>-80.459838839110446</v>
      </c>
      <c r="P22" s="97">
        <f>P222</f>
        <v>-83.1950203976062</v>
      </c>
      <c r="Q22" s="249">
        <f>$K22*Q$7</f>
        <v>-17.444423436121347</v>
      </c>
      <c r="R22" s="97">
        <f>$K22*R$7</f>
        <v>-52.333270308364042</v>
      </c>
      <c r="S22" s="97"/>
      <c r="T22" s="97"/>
    </row>
    <row r="23" spans="2:20" x14ac:dyDescent="0.3">
      <c r="B23" s="11" t="s">
        <v>202</v>
      </c>
      <c r="F23" s="98">
        <f t="shared" ref="F23:H23" si="19">SUM(F22,F19)</f>
        <v>139.90000000000003</v>
      </c>
      <c r="G23" s="98">
        <f t="shared" si="19"/>
        <v>172.60000000000005</v>
      </c>
      <c r="H23" s="98">
        <f t="shared" si="19"/>
        <v>188.59999999999997</v>
      </c>
      <c r="I23" s="98">
        <f t="shared" ref="I23:J23" si="20">SUM(I22,I19)</f>
        <v>97.600000000000136</v>
      </c>
      <c r="J23" s="98">
        <f t="shared" si="20"/>
        <v>155.29291507562786</v>
      </c>
      <c r="K23" s="98">
        <f t="shared" ref="K23:R23" si="21">SUM(K22,K19)</f>
        <v>179.42888582034496</v>
      </c>
      <c r="L23" s="98">
        <f t="shared" si="21"/>
        <v>200.32108793260073</v>
      </c>
      <c r="M23" s="98">
        <f t="shared" si="21"/>
        <v>224.52482840732813</v>
      </c>
      <c r="N23" s="98">
        <f t="shared" si="21"/>
        <v>250.85179692142637</v>
      </c>
      <c r="O23" s="98">
        <f t="shared" si="21"/>
        <v>279.37759446948138</v>
      </c>
      <c r="P23" s="98">
        <f t="shared" si="21"/>
        <v>310.16402999023819</v>
      </c>
      <c r="Q23" s="252">
        <f t="shared" si="21"/>
        <v>44.85722145508624</v>
      </c>
      <c r="R23" s="98">
        <f t="shared" si="21"/>
        <v>134.57166436525881</v>
      </c>
      <c r="S23" s="97"/>
      <c r="T23" s="97"/>
    </row>
    <row r="24" spans="2:20" x14ac:dyDescent="0.3">
      <c r="F24" s="97"/>
      <c r="G24" s="97"/>
      <c r="H24" s="97"/>
      <c r="I24" s="97"/>
      <c r="Q24" s="248"/>
      <c r="S24" s="97"/>
      <c r="T24" s="97"/>
    </row>
    <row r="25" spans="2:20" x14ac:dyDescent="0.3">
      <c r="B25" t="s">
        <v>76</v>
      </c>
      <c r="F25" s="107">
        <f>'Spectris Raw Data '!D17</f>
        <v>-5.4</v>
      </c>
      <c r="G25" s="107">
        <f>'Spectris Raw Data '!E17</f>
        <v>-19.2</v>
      </c>
      <c r="H25" s="107">
        <f>'Spectris Raw Data '!F17</f>
        <v>-4.0999999999999996</v>
      </c>
      <c r="I25" s="107">
        <f>'Spectris Raw Data '!G17</f>
        <v>-17.8</v>
      </c>
      <c r="J25" s="97">
        <f ca="1">J392</f>
        <v>-27.692184949288517</v>
      </c>
      <c r="K25" s="97">
        <f ca="1">K392</f>
        <v>-72.847382228457661</v>
      </c>
      <c r="L25" s="97">
        <f t="shared" ref="L25:P25" ca="1" si="22">L392</f>
        <v>-91.733237789579547</v>
      </c>
      <c r="M25" s="97">
        <f t="shared" ca="1" si="22"/>
        <v>-91.064285868854157</v>
      </c>
      <c r="N25" s="97">
        <f t="shared" ca="1" si="22"/>
        <v>-88.730755905452341</v>
      </c>
      <c r="O25" s="97">
        <f t="shared" ca="1" si="22"/>
        <v>-81.153106145899002</v>
      </c>
      <c r="P25" s="97">
        <f t="shared" ca="1" si="22"/>
        <v>-75.237676759856569</v>
      </c>
      <c r="Q25" s="249">
        <f ca="1">Q279</f>
        <v>-1.4880696022618976</v>
      </c>
      <c r="R25" s="97">
        <f ca="1">SUM(R342,R356,R316,R308)</f>
        <v>-71.359312626195759</v>
      </c>
      <c r="S25" s="97"/>
      <c r="T25" s="97"/>
    </row>
    <row r="26" spans="2:20" x14ac:dyDescent="0.3">
      <c r="B26" t="s">
        <v>203</v>
      </c>
      <c r="F26" s="107">
        <v>0</v>
      </c>
      <c r="G26" s="107">
        <v>0</v>
      </c>
      <c r="H26" s="107">
        <v>0</v>
      </c>
      <c r="I26" s="107">
        <v>0</v>
      </c>
      <c r="J26" s="97">
        <f ca="1">J394</f>
        <v>3.5790012175404819</v>
      </c>
      <c r="K26" s="97">
        <f t="shared" ref="K26:P26" ca="1" si="23">K394</f>
        <v>1.2933264763964292</v>
      </c>
      <c r="L26" s="97">
        <f t="shared" ca="1" si="23"/>
        <v>1.1345070638694783</v>
      </c>
      <c r="M26" s="97">
        <f t="shared" ca="1" si="23"/>
        <v>1.244437157097265</v>
      </c>
      <c r="N26" s="97">
        <f t="shared" ca="1" si="23"/>
        <v>1.3641705382231886</v>
      </c>
      <c r="O26" s="97">
        <f t="shared" ca="1" si="23"/>
        <v>1.4889785864701413</v>
      </c>
      <c r="P26" s="97">
        <f t="shared" ca="1" si="23"/>
        <v>1.5990540199918413</v>
      </c>
      <c r="Q26" s="249">
        <f ca="1">Q285</f>
        <v>0.38218637301703845</v>
      </c>
      <c r="R26" s="97">
        <f ca="1">R360</f>
        <v>0.91114010337939066</v>
      </c>
      <c r="S26" s="97"/>
      <c r="T26" s="97"/>
    </row>
    <row r="27" spans="2:20" x14ac:dyDescent="0.3">
      <c r="B27" t="s">
        <v>204</v>
      </c>
      <c r="F27" s="107">
        <f>SUM('Spectris Raw Data '!D18,'Spectris Raw Data '!D16,'Spectris Raw Data '!D15,'Spectris Raw Data '!D22:D25)</f>
        <v>250.60000000000002</v>
      </c>
      <c r="G27" s="107">
        <f>SUM('Spectris Raw Data '!E18,'Spectris Raw Data '!E16,'Spectris Raw Data '!E15,'Spectris Raw Data '!E22:E25)</f>
        <v>284.8</v>
      </c>
      <c r="H27" s="107">
        <f>SUM('Spectris Raw Data '!F18,'Spectris Raw Data '!F16,'Spectris Raw Data '!F15,'Spectris Raw Data '!F22:F25)</f>
        <v>1.0999999999999992</v>
      </c>
      <c r="I27" s="107">
        <f>SUM('Spectris Raw Data '!G18,'Spectris Raw Data '!G16,'Spectris Raw Data '!G15,'Spectris Raw Data '!G22:G25)</f>
        <v>223.29999999999998</v>
      </c>
      <c r="J27" s="133">
        <v>0</v>
      </c>
      <c r="K27" s="133">
        <f ca="1">Model!R368</f>
        <v>-4.4346196199302028</v>
      </c>
      <c r="L27" s="97">
        <f ca="1">Model!L368</f>
        <v>-5.9128261599069365</v>
      </c>
      <c r="M27" s="97">
        <f ca="1">Model!M368</f>
        <v>-5.9128261599069365</v>
      </c>
      <c r="N27" s="97">
        <f ca="1">Model!N368</f>
        <v>-5.9128261599069365</v>
      </c>
      <c r="O27" s="97">
        <f ca="1">Model!O368</f>
        <v>-5.9128261599069365</v>
      </c>
      <c r="P27" s="97">
        <f ca="1">Model!P368</f>
        <v>-5.9128261599069365</v>
      </c>
      <c r="Q27" s="249">
        <v>0</v>
      </c>
      <c r="R27" s="133">
        <f ca="1">K27</f>
        <v>-4.4346196199302028</v>
      </c>
      <c r="S27" s="97"/>
      <c r="T27" s="97"/>
    </row>
    <row r="28" spans="2:20" x14ac:dyDescent="0.3">
      <c r="B28" s="11" t="s">
        <v>205</v>
      </c>
      <c r="F28" s="98">
        <f>SUM(F25:F27,F23)</f>
        <v>385.1</v>
      </c>
      <c r="G28" s="98">
        <f t="shared" ref="G28:I28" si="24">SUM(G25:G27,G23)</f>
        <v>438.20000000000005</v>
      </c>
      <c r="H28" s="98">
        <f t="shared" si="24"/>
        <v>185.59999999999997</v>
      </c>
      <c r="I28" s="98">
        <f t="shared" si="24"/>
        <v>303.10000000000014</v>
      </c>
      <c r="J28" s="98">
        <f ca="1">SUM(J25:J27,J23)</f>
        <v>131.17973134387984</v>
      </c>
      <c r="K28" s="98">
        <f ca="1">SUM(K25:K27,K23)</f>
        <v>103.44021044835353</v>
      </c>
      <c r="L28" s="98">
        <f ca="1">SUM(L25:L27,L23)</f>
        <v>103.80953104698372</v>
      </c>
      <c r="M28" s="98">
        <f t="shared" ref="M28:R28" ca="1" si="25">SUM(M25:M27,M23)</f>
        <v>128.79215353566428</v>
      </c>
      <c r="N28" s="98">
        <f t="shared" ca="1" si="25"/>
        <v>157.57238539429028</v>
      </c>
      <c r="O28" s="98">
        <f t="shared" ca="1" si="25"/>
        <v>193.80064075014559</v>
      </c>
      <c r="P28" s="98">
        <f ca="1">SUM(P25:P27,P23)</f>
        <v>230.61258109046651</v>
      </c>
      <c r="Q28" s="252">
        <f ca="1">SUM(Q25:Q27,Q23)</f>
        <v>43.75133822584138</v>
      </c>
      <c r="R28" s="98">
        <f t="shared" ca="1" si="25"/>
        <v>59.688872222512245</v>
      </c>
      <c r="S28" s="97"/>
      <c r="T28" s="97"/>
    </row>
    <row r="29" spans="2:20" x14ac:dyDescent="0.3">
      <c r="Q29" s="248"/>
      <c r="S29" s="97"/>
      <c r="T29" s="97"/>
    </row>
    <row r="30" spans="2:20" x14ac:dyDescent="0.3">
      <c r="B30" t="s">
        <v>206</v>
      </c>
      <c r="F30" s="107">
        <f>'Spectris Raw Data '!D21</f>
        <v>-38.200000000000003</v>
      </c>
      <c r="G30" s="107">
        <f>'Spectris Raw Data '!E21</f>
        <v>-36.700000000000003</v>
      </c>
      <c r="H30" s="107">
        <f>'Spectris Raw Data '!F21</f>
        <v>-40.200000000000003</v>
      </c>
      <c r="I30" s="107">
        <f>'Spectris Raw Data '!G21</f>
        <v>-69.5</v>
      </c>
      <c r="J30" s="97">
        <f ca="1">J171</f>
        <v>-30.827236865811759</v>
      </c>
      <c r="K30" s="97">
        <f t="shared" ref="K30:P30" ca="1" si="26">K171</f>
        <v>-24.308449455363078</v>
      </c>
      <c r="L30" s="97">
        <f t="shared" ca="1" si="26"/>
        <v>-24.395239796041174</v>
      </c>
      <c r="M30" s="97">
        <f t="shared" ca="1" si="26"/>
        <v>-30.266156080881103</v>
      </c>
      <c r="N30" s="97">
        <f t="shared" ca="1" si="26"/>
        <v>-37.029510567658214</v>
      </c>
      <c r="O30" s="97">
        <f t="shared" ca="1" si="26"/>
        <v>-45.543150576284212</v>
      </c>
      <c r="P30" s="97">
        <f t="shared" ca="1" si="26"/>
        <v>-54.193956556259629</v>
      </c>
      <c r="Q30" s="249">
        <f ca="1">$K30*Q$7</f>
        <v>-6.0771123638407696</v>
      </c>
      <c r="R30" s="97">
        <f ca="1">$K30*R$7</f>
        <v>-18.23133709152231</v>
      </c>
      <c r="S30" s="97"/>
      <c r="T30" s="97"/>
    </row>
    <row r="31" spans="2:20" x14ac:dyDescent="0.3">
      <c r="B31" s="11" t="s">
        <v>207</v>
      </c>
      <c r="F31" s="98">
        <f>SUM(F30,F28)</f>
        <v>346.90000000000003</v>
      </c>
      <c r="G31" s="98">
        <f t="shared" ref="G31:I31" si="27">SUM(G30,G28)</f>
        <v>401.50000000000006</v>
      </c>
      <c r="H31" s="98">
        <f t="shared" si="27"/>
        <v>145.39999999999998</v>
      </c>
      <c r="I31" s="98">
        <f t="shared" si="27"/>
        <v>233.60000000000014</v>
      </c>
      <c r="J31" s="98">
        <f ca="1">SUM(J30,J28)</f>
        <v>100.35249447806808</v>
      </c>
      <c r="K31" s="98">
        <f t="shared" ref="K31:O31" ca="1" si="28">SUM(K30,K28)</f>
        <v>79.131760992990451</v>
      </c>
      <c r="L31" s="98">
        <f t="shared" ca="1" si="28"/>
        <v>79.41429125094254</v>
      </c>
      <c r="M31" s="98">
        <f t="shared" ca="1" si="28"/>
        <v>98.52599745478318</v>
      </c>
      <c r="N31" s="98">
        <f t="shared" ca="1" si="28"/>
        <v>120.54287482663207</v>
      </c>
      <c r="O31" s="98">
        <f t="shared" ca="1" si="28"/>
        <v>148.25749017386138</v>
      </c>
      <c r="P31" s="98">
        <f ca="1">SUM(P30,P28)</f>
        <v>176.41862453420688</v>
      </c>
      <c r="Q31" s="252">
        <f ca="1">SUM(Q30,Q28)</f>
        <v>37.674225862000611</v>
      </c>
      <c r="R31" s="98">
        <f ca="1">SUM(R30,R28)</f>
        <v>41.457535130989939</v>
      </c>
      <c r="S31" s="97"/>
      <c r="T31" s="97"/>
    </row>
    <row r="32" spans="2:20" x14ac:dyDescent="0.3">
      <c r="B32" s="11"/>
      <c r="F32" s="149"/>
      <c r="G32" s="149"/>
      <c r="H32" s="149"/>
      <c r="I32" s="149"/>
      <c r="J32" s="149"/>
      <c r="K32" s="149"/>
      <c r="L32" s="149"/>
      <c r="M32" s="149"/>
      <c r="N32" s="149"/>
      <c r="O32" s="149"/>
      <c r="P32" s="149"/>
    </row>
    <row r="33" spans="1:19" x14ac:dyDescent="0.3">
      <c r="B33" s="11"/>
      <c r="F33" s="149"/>
      <c r="G33" s="149"/>
      <c r="H33" s="149"/>
      <c r="I33" s="149"/>
      <c r="J33" s="149"/>
      <c r="K33" s="149"/>
      <c r="L33" s="149"/>
      <c r="M33" s="149"/>
      <c r="N33" s="149"/>
      <c r="O33" s="149"/>
      <c r="P33" s="149"/>
    </row>
    <row r="36" spans="1:19" s="8" customFormat="1" ht="21" x14ac:dyDescent="0.4">
      <c r="A36" t="s">
        <v>3</v>
      </c>
      <c r="B36" s="9" t="s">
        <v>208</v>
      </c>
    </row>
    <row r="38" spans="1:19" ht="15" thickBot="1" x14ac:dyDescent="0.35">
      <c r="F38" s="83">
        <v>2021</v>
      </c>
      <c r="G38" s="83">
        <v>2022</v>
      </c>
      <c r="H38" s="83">
        <v>2023</v>
      </c>
      <c r="I38" s="83">
        <v>2024</v>
      </c>
      <c r="J38" s="80">
        <v>2025</v>
      </c>
      <c r="K38" s="80">
        <v>2026</v>
      </c>
      <c r="L38" s="80">
        <v>2027</v>
      </c>
      <c r="M38" s="80">
        <v>2028</v>
      </c>
      <c r="N38" s="80">
        <v>2029</v>
      </c>
      <c r="O38" s="80">
        <v>2030</v>
      </c>
      <c r="P38" s="80">
        <v>2031</v>
      </c>
      <c r="Q38" s="238">
        <v>2026</v>
      </c>
      <c r="R38" s="238">
        <v>2026</v>
      </c>
    </row>
    <row r="40" spans="1:19" x14ac:dyDescent="0.3">
      <c r="B40" s="11" t="s">
        <v>209</v>
      </c>
      <c r="E40" s="97"/>
      <c r="F40" s="97"/>
      <c r="G40" s="97"/>
      <c r="H40" s="97"/>
      <c r="I40" s="97"/>
      <c r="J40" s="97"/>
      <c r="K40" s="97"/>
      <c r="L40" s="97"/>
      <c r="M40" s="97"/>
      <c r="N40" s="97"/>
      <c r="O40" s="97"/>
      <c r="P40" s="97"/>
      <c r="Q40" s="249"/>
      <c r="R40" s="97"/>
      <c r="S40" s="97"/>
    </row>
    <row r="41" spans="1:19" x14ac:dyDescent="0.3">
      <c r="B41" t="s">
        <v>33</v>
      </c>
      <c r="E41" s="97"/>
      <c r="F41" s="107">
        <f>'Spectris Raw Data '!D48</f>
        <v>167.8</v>
      </c>
      <c r="G41" s="107">
        <f>'Spectris Raw Data '!E48</f>
        <v>228.1</v>
      </c>
      <c r="H41" s="107">
        <f>'Spectris Raw Data '!F48</f>
        <v>138.5</v>
      </c>
      <c r="I41" s="107">
        <f>'Spectris Raw Data '!G48</f>
        <v>105.7</v>
      </c>
      <c r="J41" s="97">
        <f ca="1">J116</f>
        <v>32.219122063217029</v>
      </c>
      <c r="K41" s="97">
        <f t="shared" ref="K41:P41" ca="1" si="29">K116</f>
        <v>32.833877599257235</v>
      </c>
      <c r="L41" s="97">
        <f t="shared" ca="1" si="29"/>
        <v>33.901832040124006</v>
      </c>
      <c r="M41" s="97">
        <f t="shared" ca="1" si="29"/>
        <v>35.233565576390717</v>
      </c>
      <c r="N41" s="97">
        <f t="shared" ca="1" si="29"/>
        <v>36.564883803777107</v>
      </c>
      <c r="O41" s="97">
        <f t="shared" ca="1" si="29"/>
        <v>37.884045519729952</v>
      </c>
      <c r="P41" s="97">
        <f t="shared" ca="1" si="29"/>
        <v>39.178798817226252</v>
      </c>
      <c r="Q41" s="249">
        <f ca="1">Q116</f>
        <v>32.833877599257598</v>
      </c>
      <c r="R41" s="97">
        <f t="shared" ref="R41" ca="1" si="30">R116</f>
        <v>32.833877599257058</v>
      </c>
      <c r="S41" s="97"/>
    </row>
    <row r="42" spans="1:19" x14ac:dyDescent="0.3">
      <c r="B42" t="s">
        <v>210</v>
      </c>
      <c r="E42" s="97"/>
      <c r="F42" s="107">
        <f>'Spectris Raw Data '!D49</f>
        <v>315.89999999999998</v>
      </c>
      <c r="G42" s="107">
        <f>'Spectris Raw Data '!E49</f>
        <v>362.5</v>
      </c>
      <c r="H42" s="107">
        <f>'Spectris Raw Data '!F49</f>
        <v>317.89999999999998</v>
      </c>
      <c r="I42" s="107">
        <f>'Spectris Raw Data '!G49</f>
        <v>347</v>
      </c>
      <c r="J42" s="97">
        <f>J183</f>
        <v>371.749818952807</v>
      </c>
      <c r="K42" s="97">
        <f t="shared" ref="K42:P42" si="31">K183</f>
        <v>379.63202846902493</v>
      </c>
      <c r="L42" s="97">
        <f t="shared" si="31"/>
        <v>405.10906085942736</v>
      </c>
      <c r="M42" s="97">
        <f t="shared" si="31"/>
        <v>435.26918988805926</v>
      </c>
      <c r="N42" s="97">
        <f t="shared" si="31"/>
        <v>467.17091590806751</v>
      </c>
      <c r="O42" s="97">
        <f t="shared" si="31"/>
        <v>500.78345988259287</v>
      </c>
      <c r="P42" s="97">
        <f t="shared" si="31"/>
        <v>536.059975056599</v>
      </c>
      <c r="Q42" s="249">
        <f t="shared" ref="Q42:R42" si="32">Q183</f>
        <v>379.63202846902493</v>
      </c>
      <c r="R42" s="97">
        <f t="shared" si="32"/>
        <v>379.63202846902493</v>
      </c>
      <c r="S42" s="97"/>
    </row>
    <row r="43" spans="1:19" x14ac:dyDescent="0.3">
      <c r="B43" t="s">
        <v>211</v>
      </c>
      <c r="E43" s="97"/>
      <c r="F43" s="107">
        <f>'Spectris Raw Data '!D51</f>
        <v>187.9</v>
      </c>
      <c r="G43" s="107">
        <f>'Spectris Raw Data '!E51</f>
        <v>263.3</v>
      </c>
      <c r="H43" s="107">
        <f>'Spectris Raw Data '!F51</f>
        <v>231.8</v>
      </c>
      <c r="I43" s="107">
        <f>'Spectris Raw Data '!G51</f>
        <v>250.2</v>
      </c>
      <c r="J43" s="97">
        <f>J189</f>
        <v>258.27283223781495</v>
      </c>
      <c r="K43" s="97">
        <f t="shared" ref="K43:P43" si="33">K189</f>
        <v>256.09865294045443</v>
      </c>
      <c r="L43" s="97">
        <f t="shared" si="33"/>
        <v>271.32187735244605</v>
      </c>
      <c r="M43" s="97">
        <f t="shared" si="33"/>
        <v>289.48340391065921</v>
      </c>
      <c r="N43" s="97">
        <f t="shared" si="33"/>
        <v>308.58639144383756</v>
      </c>
      <c r="O43" s="97">
        <f t="shared" si="33"/>
        <v>328.59917579869972</v>
      </c>
      <c r="P43" s="97">
        <f t="shared" si="33"/>
        <v>349.48112331283471</v>
      </c>
      <c r="Q43" s="249">
        <f t="shared" ref="Q43:R43" si="34">Q189</f>
        <v>256.09865294045443</v>
      </c>
      <c r="R43" s="97">
        <f t="shared" si="34"/>
        <v>256.09865294045443</v>
      </c>
      <c r="S43" s="97"/>
    </row>
    <row r="44" spans="1:19" x14ac:dyDescent="0.3">
      <c r="B44" t="s">
        <v>212</v>
      </c>
      <c r="E44" s="97"/>
      <c r="F44" s="107">
        <f>SUM('Spectris Raw Data '!D50,'Spectris Raw Data '!D52,'Spectris Raw Data '!D53)</f>
        <v>16.399999999999999</v>
      </c>
      <c r="G44" s="107">
        <f>SUM('Spectris Raw Data '!E50,'Spectris Raw Data '!E52,'Spectris Raw Data '!E53)</f>
        <v>11.6</v>
      </c>
      <c r="H44" s="107">
        <f>SUM('Spectris Raw Data '!F50,'Spectris Raw Data '!F52,'Spectris Raw Data '!F53)</f>
        <v>110.5</v>
      </c>
      <c r="I44" s="107">
        <f>SUM('Spectris Raw Data '!G50,'Spectris Raw Data '!G52,'Spectris Raw Data '!G53)</f>
        <v>19.099999999999998</v>
      </c>
      <c r="J44" s="97">
        <f>J191</f>
        <v>18.653527928006614</v>
      </c>
      <c r="K44" s="97">
        <f t="shared" ref="K44:P44" si="35">K191</f>
        <v>19.309809613231735</v>
      </c>
      <c r="L44" s="97">
        <f t="shared" si="35"/>
        <v>20.262362207441218</v>
      </c>
      <c r="M44" s="97">
        <f t="shared" si="35"/>
        <v>21.411508951164965</v>
      </c>
      <c r="N44" s="97">
        <f t="shared" si="35"/>
        <v>22.604880047931825</v>
      </c>
      <c r="O44" s="97">
        <f t="shared" si="35"/>
        <v>23.838390731138041</v>
      </c>
      <c r="P44" s="97">
        <f t="shared" si="35"/>
        <v>25.107421181680639</v>
      </c>
      <c r="Q44" s="249">
        <f t="shared" ref="Q44:R44" si="36">Q191</f>
        <v>19.309809613231735</v>
      </c>
      <c r="R44" s="97">
        <f t="shared" si="36"/>
        <v>19.309809613231735</v>
      </c>
      <c r="S44" s="97"/>
    </row>
    <row r="45" spans="1:19" x14ac:dyDescent="0.3">
      <c r="B45" s="11" t="s">
        <v>213</v>
      </c>
      <c r="E45" s="97"/>
      <c r="F45" s="98">
        <f>SUM(F41:F44)</f>
        <v>688</v>
      </c>
      <c r="G45" s="98">
        <f t="shared" ref="G45:J45" si="37">SUM(G41:G44)</f>
        <v>865.50000000000011</v>
      </c>
      <c r="H45" s="98">
        <f t="shared" si="37"/>
        <v>798.7</v>
      </c>
      <c r="I45" s="98">
        <f t="shared" si="37"/>
        <v>722</v>
      </c>
      <c r="J45" s="98">
        <f t="shared" ca="1" si="37"/>
        <v>680.89530118184564</v>
      </c>
      <c r="K45" s="98">
        <f t="shared" ref="K45:R45" ca="1" si="38">SUM(K41:K44)</f>
        <v>687.8743686219683</v>
      </c>
      <c r="L45" s="98">
        <f t="shared" ca="1" si="38"/>
        <v>730.59513245943867</v>
      </c>
      <c r="M45" s="98">
        <f t="shared" ca="1" si="38"/>
        <v>781.39766832627413</v>
      </c>
      <c r="N45" s="98">
        <f t="shared" ca="1" si="38"/>
        <v>834.92707120361399</v>
      </c>
      <c r="O45" s="98">
        <f t="shared" ca="1" si="38"/>
        <v>891.10507193216051</v>
      </c>
      <c r="P45" s="98">
        <f t="shared" ca="1" si="38"/>
        <v>949.82731836834057</v>
      </c>
      <c r="Q45" s="252">
        <f t="shared" ca="1" si="38"/>
        <v>687.87436862196876</v>
      </c>
      <c r="R45" s="98">
        <f t="shared" ca="1" si="38"/>
        <v>687.87436862196819</v>
      </c>
      <c r="S45" s="97"/>
    </row>
    <row r="46" spans="1:19" x14ac:dyDescent="0.3">
      <c r="E46" s="97"/>
      <c r="F46" s="97"/>
      <c r="G46" s="97"/>
      <c r="H46" s="97"/>
      <c r="I46" s="97"/>
      <c r="J46" s="97"/>
      <c r="K46" s="97"/>
      <c r="L46" s="97"/>
      <c r="M46" s="97"/>
      <c r="N46" s="97"/>
      <c r="O46" s="97"/>
      <c r="P46" s="97"/>
      <c r="Q46" s="249"/>
      <c r="R46" s="97"/>
      <c r="S46" s="97"/>
    </row>
    <row r="47" spans="1:19" x14ac:dyDescent="0.3">
      <c r="B47" s="11" t="s">
        <v>214</v>
      </c>
      <c r="E47" s="97"/>
      <c r="F47" s="97"/>
      <c r="G47" s="97"/>
      <c r="H47" s="97"/>
      <c r="I47" s="97"/>
      <c r="J47" s="97"/>
      <c r="K47" s="97"/>
      <c r="L47" s="97"/>
      <c r="M47" s="97"/>
      <c r="N47" s="97"/>
      <c r="O47" s="97"/>
      <c r="P47" s="97"/>
      <c r="Q47" s="249"/>
      <c r="R47" s="97"/>
      <c r="S47" s="97"/>
    </row>
    <row r="48" spans="1:19" x14ac:dyDescent="0.3">
      <c r="B48" t="s">
        <v>215</v>
      </c>
      <c r="E48" s="97"/>
      <c r="F48" s="107">
        <f>SUM('Spectris Raw Data '!D58,'Spectris Raw Data '!D65)</f>
        <v>319.60000000000002</v>
      </c>
      <c r="G48" s="107">
        <f>SUM('Spectris Raw Data '!E58,'Spectris Raw Data '!E65)</f>
        <v>344.79999999999995</v>
      </c>
      <c r="H48" s="107">
        <f>SUM('Spectris Raw Data '!F58,'Spectris Raw Data '!F65)</f>
        <v>303.29999999999995</v>
      </c>
      <c r="I48" s="107">
        <f>SUM('Spectris Raw Data '!G58,'Spectris Raw Data '!G65)</f>
        <v>592.4</v>
      </c>
      <c r="J48" s="97">
        <f>J223</f>
        <v>570.96924883357474</v>
      </c>
      <c r="K48" s="97">
        <f t="shared" ref="K48:P48" si="39">K223</f>
        <v>553.65155187891799</v>
      </c>
      <c r="L48" s="97">
        <f t="shared" si="39"/>
        <v>540.65563779786123</v>
      </c>
      <c r="M48" s="97">
        <f t="shared" si="39"/>
        <v>532.46661908655551</v>
      </c>
      <c r="N48" s="97">
        <f t="shared" si="39"/>
        <v>529.75418727731824</v>
      </c>
      <c r="O48" s="97">
        <f t="shared" si="39"/>
        <v>533.23668620783224</v>
      </c>
      <c r="P48" s="97">
        <f t="shared" si="39"/>
        <v>543.67784792731175</v>
      </c>
      <c r="Q48" s="249">
        <f t="shared" ref="Q48:R48" si="40">Q223</f>
        <v>566.63982459491046</v>
      </c>
      <c r="R48" s="97">
        <f t="shared" si="40"/>
        <v>553.65155187891787</v>
      </c>
      <c r="S48" s="97"/>
    </row>
    <row r="49" spans="2:19" x14ac:dyDescent="0.3">
      <c r="B49" t="s">
        <v>216</v>
      </c>
      <c r="E49" s="97"/>
      <c r="F49" s="107">
        <f>SUM('Spectris Raw Data '!D64)</f>
        <v>631.5</v>
      </c>
      <c r="G49" s="107">
        <f>SUM('Spectris Raw Data '!E64)</f>
        <v>606.1</v>
      </c>
      <c r="H49" s="107">
        <f>SUM('Spectris Raw Data '!F64)</f>
        <v>565.5</v>
      </c>
      <c r="I49" s="107">
        <f>SUM('Spectris Raw Data '!G64)</f>
        <v>1087.5</v>
      </c>
      <c r="J49" s="97">
        <f>I49</f>
        <v>1087.5</v>
      </c>
      <c r="K49" s="97">
        <f t="shared" ref="K49:O49" si="41">J49</f>
        <v>1087.5</v>
      </c>
      <c r="L49" s="97">
        <f t="shared" si="41"/>
        <v>1087.5</v>
      </c>
      <c r="M49" s="97">
        <f t="shared" si="41"/>
        <v>1087.5</v>
      </c>
      <c r="N49" s="97">
        <f t="shared" si="41"/>
        <v>1087.5</v>
      </c>
      <c r="O49" s="97">
        <f t="shared" si="41"/>
        <v>1087.5</v>
      </c>
      <c r="P49" s="97">
        <f>O49</f>
        <v>1087.5</v>
      </c>
      <c r="Q49" s="249">
        <f>P49</f>
        <v>1087.5</v>
      </c>
      <c r="R49" s="97">
        <f t="shared" ref="R49" si="42">Q49</f>
        <v>1087.5</v>
      </c>
      <c r="S49" s="97"/>
    </row>
    <row r="50" spans="2:19" x14ac:dyDescent="0.3">
      <c r="B50" t="s">
        <v>217</v>
      </c>
      <c r="E50" s="97"/>
      <c r="F50" s="107">
        <f>SUM('Spectris Raw Data '!D59:D63,'Spectris Raw Data '!D66,'Spectris Raw Data '!D56:D57)</f>
        <v>129</v>
      </c>
      <c r="G50" s="107">
        <f>SUM('Spectris Raw Data '!E59:E63,'Spectris Raw Data '!E66,'Spectris Raw Data '!E56:E57)</f>
        <v>131.60000000000002</v>
      </c>
      <c r="H50" s="107">
        <f>SUM('Spectris Raw Data '!F59:F63,'Spectris Raw Data '!F66,'Spectris Raw Data '!F56:F57)</f>
        <v>150.20000000000002</v>
      </c>
      <c r="I50" s="107">
        <f>SUM('Spectris Raw Data '!G59:G63,'Spectris Raw Data '!G66,'Spectris Raw Data '!G56:G57)</f>
        <v>157.39999999999998</v>
      </c>
      <c r="J50" s="97">
        <f>Model!J193</f>
        <v>157.39999999999998</v>
      </c>
      <c r="K50" s="97">
        <f>Model!K193</f>
        <v>157.39999999999998</v>
      </c>
      <c r="L50" s="97">
        <f>Model!L193</f>
        <v>157.39999999999998</v>
      </c>
      <c r="M50" s="97">
        <f>Model!M193</f>
        <v>157.39999999999998</v>
      </c>
      <c r="N50" s="97">
        <f>Model!N193</f>
        <v>157.39999999999998</v>
      </c>
      <c r="O50" s="97">
        <f>Model!O193</f>
        <v>157.39999999999998</v>
      </c>
      <c r="P50" s="97">
        <f>Model!P193</f>
        <v>157.39999999999998</v>
      </c>
      <c r="Q50" s="249">
        <f>Model!Q193</f>
        <v>157.39999999999998</v>
      </c>
      <c r="R50" s="97">
        <f>Model!R193</f>
        <v>157.39999999999998</v>
      </c>
      <c r="S50" s="97"/>
    </row>
    <row r="51" spans="2:19" x14ac:dyDescent="0.3">
      <c r="B51" s="11" t="s">
        <v>218</v>
      </c>
      <c r="E51" s="97"/>
      <c r="F51" s="98">
        <f>SUM(F48:F50)</f>
        <v>1080.0999999999999</v>
      </c>
      <c r="G51" s="98">
        <f t="shared" ref="G51:J51" si="43">SUM(G48:G50)</f>
        <v>1082.5</v>
      </c>
      <c r="H51" s="98">
        <f t="shared" si="43"/>
        <v>1019</v>
      </c>
      <c r="I51" s="98">
        <f t="shared" si="43"/>
        <v>1837.3000000000002</v>
      </c>
      <c r="J51" s="98">
        <f t="shared" si="43"/>
        <v>1815.8692488335746</v>
      </c>
      <c r="K51" s="98">
        <f t="shared" ref="K51:P51" si="44">SUM(K48:K50)</f>
        <v>1798.551551878918</v>
      </c>
      <c r="L51" s="98">
        <f t="shared" si="44"/>
        <v>1785.5556377978614</v>
      </c>
      <c r="M51" s="98">
        <f t="shared" si="44"/>
        <v>1777.3666190865556</v>
      </c>
      <c r="N51" s="98">
        <f t="shared" si="44"/>
        <v>1774.6541872773182</v>
      </c>
      <c r="O51" s="98">
        <f t="shared" si="44"/>
        <v>1778.1366862078321</v>
      </c>
      <c r="P51" s="98">
        <f t="shared" si="44"/>
        <v>1788.5778479273117</v>
      </c>
      <c r="Q51" s="252">
        <f t="shared" ref="Q51:R51" si="45">SUM(Q48:Q50)</f>
        <v>1811.5398245949104</v>
      </c>
      <c r="R51" s="98">
        <f t="shared" si="45"/>
        <v>1798.551551878918</v>
      </c>
      <c r="S51" s="97"/>
    </row>
    <row r="52" spans="2:19" x14ac:dyDescent="0.3">
      <c r="E52" s="97"/>
      <c r="F52" s="97"/>
      <c r="G52" s="97"/>
      <c r="H52" s="97"/>
      <c r="I52" s="97"/>
      <c r="J52" s="97"/>
      <c r="K52" s="97"/>
      <c r="L52" s="97"/>
      <c r="M52" s="97"/>
      <c r="N52" s="97"/>
      <c r="O52" s="97"/>
      <c r="P52" s="97"/>
      <c r="Q52" s="249"/>
      <c r="R52" s="97"/>
      <c r="S52" s="97"/>
    </row>
    <row r="53" spans="2:19" x14ac:dyDescent="0.3">
      <c r="B53" s="11" t="s">
        <v>219</v>
      </c>
      <c r="E53" s="97"/>
      <c r="F53" s="103">
        <f>SUM(F51,F45)</f>
        <v>1768.1</v>
      </c>
      <c r="G53" s="103">
        <f t="shared" ref="G53:J53" si="46">SUM(G51,G45)</f>
        <v>1948</v>
      </c>
      <c r="H53" s="103">
        <f t="shared" si="46"/>
        <v>1817.7</v>
      </c>
      <c r="I53" s="103">
        <f t="shared" si="46"/>
        <v>2559.3000000000002</v>
      </c>
      <c r="J53" s="103">
        <f t="shared" ca="1" si="46"/>
        <v>2496.7645500154204</v>
      </c>
      <c r="K53" s="103">
        <f t="shared" ref="K53:P53" ca="1" si="47">SUM(K51,K45)</f>
        <v>2486.4259205008861</v>
      </c>
      <c r="L53" s="103">
        <f t="shared" ca="1" si="47"/>
        <v>2516.1507702572999</v>
      </c>
      <c r="M53" s="103">
        <f t="shared" ca="1" si="47"/>
        <v>2558.7642874128296</v>
      </c>
      <c r="N53" s="103">
        <f t="shared" ca="1" si="47"/>
        <v>2609.5812584809323</v>
      </c>
      <c r="O53" s="103">
        <f t="shared" ca="1" si="47"/>
        <v>2669.2417581399927</v>
      </c>
      <c r="P53" s="103">
        <f t="shared" ca="1" si="47"/>
        <v>2738.4051662956522</v>
      </c>
      <c r="Q53" s="257">
        <f t="shared" ref="Q53:R53" ca="1" si="48">SUM(Q51,Q45)</f>
        <v>2499.4141932168791</v>
      </c>
      <c r="R53" s="103">
        <f t="shared" ca="1" si="48"/>
        <v>2486.4259205008861</v>
      </c>
      <c r="S53" s="97"/>
    </row>
    <row r="54" spans="2:19" x14ac:dyDescent="0.3">
      <c r="E54" s="97"/>
      <c r="F54" s="97"/>
      <c r="G54" s="97"/>
      <c r="H54" s="97"/>
      <c r="I54" s="97"/>
      <c r="J54" s="97"/>
      <c r="K54" s="97"/>
      <c r="L54" s="97"/>
      <c r="M54" s="97"/>
      <c r="N54" s="97"/>
      <c r="O54" s="97"/>
      <c r="P54" s="97"/>
      <c r="Q54" s="249"/>
      <c r="R54" s="97"/>
      <c r="S54" s="97"/>
    </row>
    <row r="55" spans="2:19" x14ac:dyDescent="0.3">
      <c r="B55" s="11" t="s">
        <v>220</v>
      </c>
      <c r="E55" s="97"/>
      <c r="F55" s="97"/>
      <c r="G55" s="97"/>
      <c r="H55" s="97"/>
      <c r="I55" s="97"/>
      <c r="J55" s="97"/>
      <c r="K55" s="97"/>
      <c r="L55" s="97"/>
      <c r="M55" s="97"/>
      <c r="N55" s="97"/>
      <c r="O55" s="97"/>
      <c r="P55" s="97"/>
      <c r="Q55" s="249"/>
      <c r="R55" s="97"/>
      <c r="S55" s="97"/>
    </row>
    <row r="56" spans="2:19" x14ac:dyDescent="0.3">
      <c r="B56" t="s">
        <v>221</v>
      </c>
      <c r="E56" s="97"/>
      <c r="F56" s="107">
        <f>'Spectris Raw Data '!D71</f>
        <v>330.2</v>
      </c>
      <c r="G56" s="107">
        <f>'Spectris Raw Data '!E71</f>
        <v>373.7</v>
      </c>
      <c r="H56" s="107">
        <f>'Spectris Raw Data '!F71</f>
        <v>369.4</v>
      </c>
      <c r="I56" s="107">
        <f>'Spectris Raw Data '!G71</f>
        <v>330.8</v>
      </c>
      <c r="J56" s="97">
        <f>J187</f>
        <v>374.79585159057137</v>
      </c>
      <c r="K56" s="97">
        <f t="shared" ref="K56:P56" si="49">K187</f>
        <v>366.76353854375492</v>
      </c>
      <c r="L56" s="97">
        <f t="shared" si="49"/>
        <v>396.49553588946293</v>
      </c>
      <c r="M56" s="97">
        <f t="shared" si="49"/>
        <v>431.19546446924306</v>
      </c>
      <c r="N56" s="97">
        <f t="shared" si="49"/>
        <v>468.02917271481783</v>
      </c>
      <c r="O56" s="97">
        <f t="shared" si="49"/>
        <v>506.96816156141773</v>
      </c>
      <c r="P56" s="97">
        <f t="shared" si="49"/>
        <v>547.96155330769534</v>
      </c>
      <c r="Q56" s="249">
        <f t="shared" ref="Q56:R56" si="50">Q187</f>
        <v>366.76353854375492</v>
      </c>
      <c r="R56" s="97">
        <f t="shared" si="50"/>
        <v>366.76353854375492</v>
      </c>
      <c r="S56" s="97"/>
    </row>
    <row r="57" spans="2:19" x14ac:dyDescent="0.3">
      <c r="B57" t="s">
        <v>30</v>
      </c>
      <c r="E57" s="97"/>
      <c r="F57" s="107">
        <f>'Spectris Raw Data '!D72</f>
        <v>0</v>
      </c>
      <c r="G57" s="107">
        <f>'Spectris Raw Data '!E72</f>
        <v>0.1</v>
      </c>
      <c r="H57" s="107">
        <f>'Spectris Raw Data '!F72</f>
        <v>0</v>
      </c>
      <c r="I57" s="107">
        <f>'Spectris Raw Data '!G72</f>
        <v>13.3</v>
      </c>
      <c r="J57" s="97">
        <f ca="1">J390</f>
        <v>0</v>
      </c>
      <c r="K57" s="97">
        <f t="shared" ref="K57:P57" ca="1" si="51">K390</f>
        <v>141.11957253308731</v>
      </c>
      <c r="L57" s="97">
        <f t="shared" ca="1" si="51"/>
        <v>60.179896579067076</v>
      </c>
      <c r="M57" s="97">
        <f t="shared" ca="1" si="51"/>
        <v>0</v>
      </c>
      <c r="N57" s="97">
        <f t="shared" ca="1" si="51"/>
        <v>0</v>
      </c>
      <c r="O57" s="97">
        <f t="shared" ca="1" si="51"/>
        <v>0</v>
      </c>
      <c r="P57" s="97">
        <f t="shared" ca="1" si="51"/>
        <v>0</v>
      </c>
      <c r="Q57" s="249">
        <f ca="1">Q264</f>
        <v>0</v>
      </c>
      <c r="R57" s="97">
        <f ca="1">K390</f>
        <v>141.11957253308731</v>
      </c>
      <c r="S57" s="97"/>
    </row>
    <row r="58" spans="2:19" x14ac:dyDescent="0.3">
      <c r="B58" t="s">
        <v>222</v>
      </c>
      <c r="E58" s="97"/>
      <c r="F58" s="107">
        <f>SUM('Spectris Raw Data '!D73:D76,'Spectris Raw Data '!D70)</f>
        <v>63.500000000000007</v>
      </c>
      <c r="G58" s="107">
        <f>SUM('Spectris Raw Data '!E73:E76,'Spectris Raw Data '!E70)</f>
        <v>44.2</v>
      </c>
      <c r="H58" s="107">
        <f>SUM('Spectris Raw Data '!F73:F76,'Spectris Raw Data '!F70)</f>
        <v>53.4</v>
      </c>
      <c r="I58" s="107">
        <f>SUM('Spectris Raw Data '!G73:G76,'Spectris Raw Data '!G70)</f>
        <v>51.3</v>
      </c>
      <c r="J58" s="97">
        <f>Model!J195</f>
        <v>61.198536604047085</v>
      </c>
      <c r="K58" s="97">
        <f>Model!K195</f>
        <v>62.74085437958778</v>
      </c>
      <c r="L58" s="97">
        <f>Model!L195</f>
        <v>65.186265333463993</v>
      </c>
      <c r="M58" s="97">
        <f>Model!M195</f>
        <v>68.187435506223608</v>
      </c>
      <c r="N58" s="97">
        <f>Model!N195</f>
        <v>71.243274501166511</v>
      </c>
      <c r="O58" s="97">
        <f>Model!O195</f>
        <v>74.334864119324223</v>
      </c>
      <c r="P58" s="97">
        <f>Model!P195</f>
        <v>77.442017549311345</v>
      </c>
      <c r="Q58" s="249">
        <f>Model!Q195</f>
        <v>62.74085437958778</v>
      </c>
      <c r="R58" s="97">
        <f>Model!R195</f>
        <v>62.74085437958778</v>
      </c>
      <c r="S58" s="97"/>
    </row>
    <row r="59" spans="2:19" x14ac:dyDescent="0.3">
      <c r="B59" s="11" t="s">
        <v>223</v>
      </c>
      <c r="E59" s="97"/>
      <c r="F59" s="98">
        <f>SUM(F56:F58)</f>
        <v>393.7</v>
      </c>
      <c r="G59" s="98">
        <f t="shared" ref="G59:J59" si="52">SUM(G56:G58)</f>
        <v>418</v>
      </c>
      <c r="H59" s="98">
        <f t="shared" si="52"/>
        <v>422.79999999999995</v>
      </c>
      <c r="I59" s="98">
        <f t="shared" si="52"/>
        <v>395.40000000000003</v>
      </c>
      <c r="J59" s="98">
        <f t="shared" ca="1" si="52"/>
        <v>435.99438819461847</v>
      </c>
      <c r="K59" s="98">
        <f t="shared" ref="K59:P59" ca="1" si="53">SUM(K56:K58)</f>
        <v>570.62396545643003</v>
      </c>
      <c r="L59" s="98">
        <f t="shared" ca="1" si="53"/>
        <v>521.86169780199396</v>
      </c>
      <c r="M59" s="98">
        <f t="shared" ca="1" si="53"/>
        <v>499.38289997546667</v>
      </c>
      <c r="N59" s="98">
        <f t="shared" ca="1" si="53"/>
        <v>539.27244721598436</v>
      </c>
      <c r="O59" s="98">
        <f t="shared" ca="1" si="53"/>
        <v>581.30302568074194</v>
      </c>
      <c r="P59" s="98">
        <f t="shared" ca="1" si="53"/>
        <v>625.40357085700668</v>
      </c>
      <c r="Q59" s="252">
        <f t="shared" ref="Q59:R59" ca="1" si="54">SUM(Q56:Q58)</f>
        <v>429.50439292334272</v>
      </c>
      <c r="R59" s="98">
        <f t="shared" ca="1" si="54"/>
        <v>570.62396545643003</v>
      </c>
      <c r="S59" s="97"/>
    </row>
    <row r="60" spans="2:19" x14ac:dyDescent="0.3">
      <c r="E60" s="97"/>
      <c r="F60" s="97"/>
      <c r="G60" s="97"/>
      <c r="H60" s="97"/>
      <c r="I60" s="97"/>
      <c r="J60" s="97"/>
      <c r="K60" s="97"/>
      <c r="L60" s="97"/>
      <c r="M60" s="97"/>
      <c r="N60" s="97"/>
      <c r="O60" s="97"/>
      <c r="P60" s="97"/>
      <c r="Q60" s="249"/>
      <c r="R60" s="97"/>
      <c r="S60" s="97"/>
    </row>
    <row r="61" spans="2:19" x14ac:dyDescent="0.3">
      <c r="B61" s="11" t="s">
        <v>224</v>
      </c>
      <c r="E61" s="97"/>
      <c r="F61" s="97"/>
      <c r="G61" s="97"/>
      <c r="H61" s="97"/>
      <c r="I61" s="97"/>
      <c r="J61" s="97"/>
      <c r="K61" s="97"/>
      <c r="L61" s="97"/>
      <c r="M61" s="97"/>
      <c r="N61" s="97"/>
      <c r="O61" s="97"/>
      <c r="P61" s="97"/>
      <c r="Q61" s="249"/>
      <c r="R61" s="97"/>
      <c r="S61" s="97"/>
    </row>
    <row r="62" spans="2:19" x14ac:dyDescent="0.3">
      <c r="B62" t="s">
        <v>225</v>
      </c>
      <c r="E62" s="97"/>
      <c r="F62" s="107">
        <f>'Spectris Raw Data '!D83</f>
        <v>0</v>
      </c>
      <c r="G62" s="107">
        <f>'Spectris Raw Data '!E83</f>
        <v>0</v>
      </c>
      <c r="H62" s="107">
        <f>'Spectris Raw Data '!F83</f>
        <v>0</v>
      </c>
      <c r="I62" s="107">
        <f>'Spectris Raw Data '!G83</f>
        <v>641.4</v>
      </c>
      <c r="J62" s="97">
        <f t="shared" ref="J62:P62" ca="1" si="55">J384</f>
        <v>518.69766734273378</v>
      </c>
      <c r="K62" s="97">
        <f t="shared" ca="1" si="55"/>
        <v>1487.3063580208609</v>
      </c>
      <c r="L62" s="97">
        <f t="shared" ca="1" si="55"/>
        <v>1486.3791841807679</v>
      </c>
      <c r="M62" s="97">
        <f t="shared" ca="1" si="55"/>
        <v>1452.9455017080413</v>
      </c>
      <c r="N62" s="97">
        <f t="shared" ca="1" si="55"/>
        <v>1343.3300507089946</v>
      </c>
      <c r="O62" s="97">
        <f t="shared" ca="1" si="55"/>
        <v>1212.7024817294359</v>
      </c>
      <c r="P62" s="97">
        <f t="shared" ca="1" si="55"/>
        <v>1061.3467201746239</v>
      </c>
      <c r="Q62" s="249">
        <f ca="1">Q274</f>
        <v>490.16307995346784</v>
      </c>
      <c r="R62" s="97">
        <f ca="1">K384</f>
        <v>1487.3063580208609</v>
      </c>
      <c r="S62" s="97"/>
    </row>
    <row r="63" spans="2:19" x14ac:dyDescent="0.3">
      <c r="B63" t="s">
        <v>226</v>
      </c>
      <c r="E63" s="97"/>
      <c r="F63" s="107">
        <f>SUM('Spectris Raw Data '!D79:D82,'Spectris Raw Data '!D84:D86)</f>
        <v>113.1</v>
      </c>
      <c r="G63" s="107">
        <f>SUM('Spectris Raw Data '!E79:E82,'Spectris Raw Data '!E84:E86)</f>
        <v>93.1</v>
      </c>
      <c r="H63" s="107">
        <f>SUM('Spectris Raw Data '!F79:F82,'Spectris Raw Data '!F84:F86)</f>
        <v>79</v>
      </c>
      <c r="I63" s="107">
        <f>SUM('Spectris Raw Data '!G79:G82,'Spectris Raw Data '!G84:G86)</f>
        <v>141.9</v>
      </c>
      <c r="J63" s="97">
        <f>Model!J197</f>
        <v>141.9</v>
      </c>
      <c r="K63" s="97">
        <f>Model!K197</f>
        <v>141.9</v>
      </c>
      <c r="L63" s="97">
        <f>Model!L197</f>
        <v>141.9</v>
      </c>
      <c r="M63" s="97">
        <f>Model!M197</f>
        <v>141.9</v>
      </c>
      <c r="N63" s="97">
        <f>Model!N197</f>
        <v>141.9</v>
      </c>
      <c r="O63" s="97">
        <f>Model!O197</f>
        <v>141.9</v>
      </c>
      <c r="P63" s="97">
        <f>Model!P197</f>
        <v>141.9</v>
      </c>
      <c r="Q63" s="249">
        <f>Model!Q197</f>
        <v>141.9</v>
      </c>
      <c r="R63" s="97">
        <f>Model!R197</f>
        <v>141.9</v>
      </c>
      <c r="S63" s="97"/>
    </row>
    <row r="64" spans="2:19" x14ac:dyDescent="0.3">
      <c r="B64" s="11" t="s">
        <v>227</v>
      </c>
      <c r="E64" s="97"/>
      <c r="F64" s="98">
        <f>SUM(F62:F63)</f>
        <v>113.1</v>
      </c>
      <c r="G64" s="98">
        <f t="shared" ref="G64:J64" si="56">SUM(G62:G63)</f>
        <v>93.1</v>
      </c>
      <c r="H64" s="98">
        <f t="shared" si="56"/>
        <v>79</v>
      </c>
      <c r="I64" s="98">
        <f t="shared" si="56"/>
        <v>783.3</v>
      </c>
      <c r="J64" s="98">
        <f t="shared" ca="1" si="56"/>
        <v>660.59766734273376</v>
      </c>
      <c r="K64" s="98">
        <f t="shared" ref="K64:P64" ca="1" si="57">SUM(K62:K63)</f>
        <v>1629.206358020861</v>
      </c>
      <c r="L64" s="98">
        <f t="shared" ca="1" si="57"/>
        <v>1628.279184180768</v>
      </c>
      <c r="M64" s="98">
        <f t="shared" ca="1" si="57"/>
        <v>1594.8455017080414</v>
      </c>
      <c r="N64" s="98">
        <f t="shared" ca="1" si="57"/>
        <v>1485.2300507089947</v>
      </c>
      <c r="O64" s="98">
        <f t="shared" ca="1" si="57"/>
        <v>1354.602481729436</v>
      </c>
      <c r="P64" s="98">
        <f t="shared" ca="1" si="57"/>
        <v>1203.246720174624</v>
      </c>
      <c r="Q64" s="252">
        <f t="shared" ref="Q64:R64" ca="1" si="58">SUM(Q62:Q63)</f>
        <v>632.06307995346788</v>
      </c>
      <c r="R64" s="98">
        <f t="shared" ca="1" si="58"/>
        <v>1629.206358020861</v>
      </c>
      <c r="S64" s="97"/>
    </row>
    <row r="65" spans="1:19" x14ac:dyDescent="0.3">
      <c r="E65" s="97"/>
      <c r="F65" s="97"/>
      <c r="G65" s="97"/>
      <c r="H65" s="97"/>
      <c r="I65" s="97"/>
      <c r="J65" s="97"/>
      <c r="K65" s="97"/>
      <c r="L65" s="97"/>
      <c r="M65" s="97"/>
      <c r="N65" s="97"/>
      <c r="O65" s="97"/>
      <c r="P65" s="97"/>
      <c r="Q65" s="249"/>
      <c r="R65" s="97"/>
      <c r="S65" s="97"/>
    </row>
    <row r="66" spans="1:19" x14ac:dyDescent="0.3">
      <c r="B66" s="11" t="s">
        <v>228</v>
      </c>
      <c r="E66" s="97"/>
      <c r="F66" s="103">
        <f>SUM(F64,F59)</f>
        <v>506.79999999999995</v>
      </c>
      <c r="G66" s="103">
        <f t="shared" ref="G66:J66" si="59">SUM(G64,G59)</f>
        <v>511.1</v>
      </c>
      <c r="H66" s="103">
        <f t="shared" si="59"/>
        <v>501.79999999999995</v>
      </c>
      <c r="I66" s="103">
        <f t="shared" si="59"/>
        <v>1178.7</v>
      </c>
      <c r="J66" s="103">
        <f t="shared" ca="1" si="59"/>
        <v>1096.5920555373523</v>
      </c>
      <c r="K66" s="103">
        <f t="shared" ref="K66:P66" ca="1" si="60">SUM(K64,K59)</f>
        <v>2199.8303234772911</v>
      </c>
      <c r="L66" s="103">
        <f t="shared" ca="1" si="60"/>
        <v>2150.140881982762</v>
      </c>
      <c r="M66" s="103">
        <f t="shared" ca="1" si="60"/>
        <v>2094.2284016835083</v>
      </c>
      <c r="N66" s="103">
        <f t="shared" ca="1" si="60"/>
        <v>2024.502497924979</v>
      </c>
      <c r="O66" s="103">
        <f t="shared" ca="1" si="60"/>
        <v>1935.905507410178</v>
      </c>
      <c r="P66" s="103">
        <f t="shared" ca="1" si="60"/>
        <v>1828.6502910316308</v>
      </c>
      <c r="Q66" s="257">
        <f t="shared" ref="Q66:R66" ca="1" si="61">SUM(Q64,Q59)</f>
        <v>1061.5674728768106</v>
      </c>
      <c r="R66" s="103">
        <f t="shared" ca="1" si="61"/>
        <v>2199.8303234772911</v>
      </c>
      <c r="S66" s="97"/>
    </row>
    <row r="67" spans="1:19" x14ac:dyDescent="0.3">
      <c r="E67" s="97"/>
      <c r="F67" s="97"/>
      <c r="G67" s="97"/>
      <c r="H67" s="97"/>
      <c r="I67" s="97"/>
      <c r="J67" s="97"/>
      <c r="K67" s="97"/>
      <c r="L67" s="97"/>
      <c r="M67" s="97"/>
      <c r="N67" s="97"/>
      <c r="O67" s="97"/>
      <c r="P67" s="97"/>
      <c r="Q67" s="249"/>
      <c r="R67" s="97"/>
      <c r="S67" s="97"/>
    </row>
    <row r="68" spans="1:19" x14ac:dyDescent="0.3">
      <c r="B68" s="11" t="s">
        <v>229</v>
      </c>
      <c r="E68" s="97"/>
      <c r="F68" s="97"/>
      <c r="G68" s="97"/>
      <c r="H68" s="97"/>
      <c r="I68" s="97"/>
      <c r="J68" s="97"/>
      <c r="K68" s="97"/>
      <c r="L68" s="97"/>
      <c r="M68" s="97"/>
      <c r="N68" s="97"/>
      <c r="O68" s="97"/>
      <c r="P68" s="97"/>
      <c r="Q68" s="249"/>
      <c r="R68" s="97"/>
      <c r="S68" s="97"/>
    </row>
    <row r="69" spans="1:19" x14ac:dyDescent="0.3">
      <c r="B69" t="s">
        <v>230</v>
      </c>
      <c r="E69" s="97"/>
      <c r="F69" s="107">
        <f>SUM('Spectris Raw Data '!D88:D89)</f>
        <v>237.20000000000002</v>
      </c>
      <c r="G69" s="107">
        <f>SUM('Spectris Raw Data '!E88:E89)</f>
        <v>236.9</v>
      </c>
      <c r="H69" s="107">
        <f>SUM('Spectris Raw Data '!F88:F89)</f>
        <v>236.70000000000002</v>
      </c>
      <c r="I69" s="107">
        <f>SUM('Spectris Raw Data '!G88:G89)</f>
        <v>236.6</v>
      </c>
      <c r="J69" s="97">
        <f>J242</f>
        <v>236.6</v>
      </c>
      <c r="K69" s="97">
        <f ca="1">K242</f>
        <v>-873.1849053074634</v>
      </c>
      <c r="L69" s="97">
        <f t="shared" ref="L69:P69" ca="1" si="62">L242</f>
        <v>-873.1849053074634</v>
      </c>
      <c r="M69" s="97">
        <f t="shared" ca="1" si="62"/>
        <v>-873.1849053074634</v>
      </c>
      <c r="N69" s="97">
        <f t="shared" ca="1" si="62"/>
        <v>-873.1849053074634</v>
      </c>
      <c r="O69" s="97">
        <f t="shared" ca="1" si="62"/>
        <v>-873.1849053074634</v>
      </c>
      <c r="P69" s="97">
        <f t="shared" ca="1" si="62"/>
        <v>-873.1849053074634</v>
      </c>
      <c r="Q69" s="249">
        <f t="shared" ref="Q69:R69" si="63">Q242</f>
        <v>236.6</v>
      </c>
      <c r="R69" s="97">
        <f t="shared" ca="1" si="63"/>
        <v>-873.1849053074634</v>
      </c>
      <c r="S69" s="97"/>
    </row>
    <row r="70" spans="1:19" x14ac:dyDescent="0.3">
      <c r="B70" t="s">
        <v>231</v>
      </c>
      <c r="E70" s="97"/>
      <c r="F70" s="107">
        <f>SUM('Spectris Raw Data '!D90:D94)</f>
        <v>1024.1000000000001</v>
      </c>
      <c r="G70" s="107">
        <f>SUM('Spectris Raw Data '!E90:E94)</f>
        <v>1200</v>
      </c>
      <c r="H70" s="107">
        <f>SUM('Spectris Raw Data '!F90:F94)</f>
        <v>1079.2</v>
      </c>
      <c r="I70" s="107">
        <f>SUM('Spectris Raw Data '!G90:G94)</f>
        <v>1144</v>
      </c>
      <c r="J70" s="97">
        <f ca="1">J234</f>
        <v>1163.5724944780682</v>
      </c>
      <c r="K70" s="97">
        <f t="shared" ref="K70:P70" ca="1" si="64">K234</f>
        <v>1159.7805023310586</v>
      </c>
      <c r="L70" s="97">
        <f t="shared" ca="1" si="64"/>
        <v>1239.1947935820012</v>
      </c>
      <c r="M70" s="97">
        <f t="shared" ca="1" si="64"/>
        <v>1337.7207910367845</v>
      </c>
      <c r="N70" s="97">
        <f t="shared" ca="1" si="64"/>
        <v>1458.2636658634165</v>
      </c>
      <c r="O70" s="97">
        <f t="shared" ca="1" si="64"/>
        <v>1606.5211560372779</v>
      </c>
      <c r="P70" s="97">
        <f t="shared" ca="1" si="64"/>
        <v>1782.9397805714848</v>
      </c>
      <c r="Q70" s="249">
        <f t="shared" ref="Q70:R70" ca="1" si="65">Q234</f>
        <v>1201.2467203400688</v>
      </c>
      <c r="R70" s="97">
        <f t="shared" ca="1" si="65"/>
        <v>1159.7805023310589</v>
      </c>
      <c r="S70" s="97"/>
    </row>
    <row r="71" spans="1:19" x14ac:dyDescent="0.3">
      <c r="B71" s="11" t="s">
        <v>232</v>
      </c>
      <c r="E71" s="97"/>
      <c r="F71" s="98">
        <f>SUM(F69:F70)</f>
        <v>1261.3000000000002</v>
      </c>
      <c r="G71" s="98">
        <f t="shared" ref="G71:J71" si="66">SUM(G69:G70)</f>
        <v>1436.9</v>
      </c>
      <c r="H71" s="98">
        <f t="shared" si="66"/>
        <v>1315.9</v>
      </c>
      <c r="I71" s="98">
        <f t="shared" si="66"/>
        <v>1380.6</v>
      </c>
      <c r="J71" s="98">
        <f t="shared" ca="1" si="66"/>
        <v>1400.1724944780681</v>
      </c>
      <c r="K71" s="98">
        <f t="shared" ref="K71:P71" ca="1" si="67">SUM(K69:K70)</f>
        <v>286.59559702359525</v>
      </c>
      <c r="L71" s="98">
        <f t="shared" ca="1" si="67"/>
        <v>366.00988827453784</v>
      </c>
      <c r="M71" s="98">
        <f t="shared" ca="1" si="67"/>
        <v>464.53588572932108</v>
      </c>
      <c r="N71" s="98">
        <f t="shared" ca="1" si="67"/>
        <v>585.07876055595307</v>
      </c>
      <c r="O71" s="98">
        <f t="shared" ca="1" si="67"/>
        <v>733.33625072981454</v>
      </c>
      <c r="P71" s="98">
        <f t="shared" ca="1" si="67"/>
        <v>909.75487526402139</v>
      </c>
      <c r="Q71" s="252">
        <f t="shared" ref="Q71:R71" ca="1" si="68">SUM(Q69:Q70)</f>
        <v>1437.8467203400687</v>
      </c>
      <c r="R71" s="98">
        <f t="shared" ca="1" si="68"/>
        <v>286.59559702359547</v>
      </c>
      <c r="S71" s="97"/>
    </row>
    <row r="72" spans="1:19" x14ac:dyDescent="0.3">
      <c r="E72" s="97"/>
      <c r="F72" s="97"/>
      <c r="G72" s="97"/>
      <c r="H72" s="97"/>
      <c r="I72" s="97"/>
      <c r="J72" s="97"/>
      <c r="K72" s="97"/>
      <c r="L72" s="97"/>
      <c r="M72" s="97"/>
      <c r="N72" s="97"/>
      <c r="O72" s="97"/>
      <c r="P72" s="97"/>
      <c r="Q72" s="249"/>
      <c r="R72" s="97"/>
      <c r="S72" s="97"/>
    </row>
    <row r="73" spans="1:19" x14ac:dyDescent="0.3">
      <c r="B73" s="11" t="s">
        <v>233</v>
      </c>
      <c r="E73" s="97"/>
      <c r="F73" s="103">
        <f>SUM(F71,F66)</f>
        <v>1768.1000000000001</v>
      </c>
      <c r="G73" s="103">
        <f t="shared" ref="G73:J73" si="69">SUM(G71,G66)</f>
        <v>1948</v>
      </c>
      <c r="H73" s="103">
        <f t="shared" si="69"/>
        <v>1817.7</v>
      </c>
      <c r="I73" s="103">
        <f t="shared" si="69"/>
        <v>2559.3000000000002</v>
      </c>
      <c r="J73" s="103">
        <f t="shared" ca="1" si="69"/>
        <v>2496.7645500154204</v>
      </c>
      <c r="K73" s="103">
        <f t="shared" ref="K73:P73" ca="1" si="70">SUM(K71,K66)</f>
        <v>2486.4259205008866</v>
      </c>
      <c r="L73" s="103">
        <f t="shared" ca="1" si="70"/>
        <v>2516.1507702572999</v>
      </c>
      <c r="M73" s="103">
        <f t="shared" ca="1" si="70"/>
        <v>2558.7642874128296</v>
      </c>
      <c r="N73" s="103">
        <f t="shared" ca="1" si="70"/>
        <v>2609.5812584809319</v>
      </c>
      <c r="O73" s="103">
        <f t="shared" ca="1" si="70"/>
        <v>2669.2417581399923</v>
      </c>
      <c r="P73" s="103">
        <f t="shared" ca="1" si="70"/>
        <v>2738.4051662956522</v>
      </c>
      <c r="Q73" s="257">
        <f t="shared" ref="Q73:R73" ca="1" si="71">SUM(Q71,Q66)</f>
        <v>2499.4141932168795</v>
      </c>
      <c r="R73" s="103">
        <f t="shared" ca="1" si="71"/>
        <v>2486.4259205008866</v>
      </c>
      <c r="S73" s="97"/>
    </row>
    <row r="74" spans="1:19" x14ac:dyDescent="0.3">
      <c r="E74" s="97"/>
      <c r="F74" s="97"/>
      <c r="G74" s="97"/>
      <c r="H74" s="97"/>
      <c r="I74" s="97"/>
      <c r="J74" s="97"/>
      <c r="K74" s="97"/>
      <c r="L74" s="97"/>
      <c r="M74" s="97"/>
      <c r="N74" s="97"/>
      <c r="O74" s="97"/>
      <c r="P74" s="97"/>
      <c r="Q74" s="249"/>
      <c r="R74" s="97"/>
      <c r="S74" s="97"/>
    </row>
    <row r="75" spans="1:19" x14ac:dyDescent="0.3">
      <c r="B75" s="93" t="s">
        <v>234</v>
      </c>
      <c r="E75" s="97"/>
      <c r="F75" s="97">
        <f>F73-F53</f>
        <v>0</v>
      </c>
      <c r="G75" s="97">
        <f t="shared" ref="G75:I75" si="72">G73-G53</f>
        <v>0</v>
      </c>
      <c r="H75" s="97">
        <f t="shared" si="72"/>
        <v>0</v>
      </c>
      <c r="I75" s="97">
        <f t="shared" si="72"/>
        <v>0</v>
      </c>
      <c r="J75" s="174">
        <f ca="1">J73-J53</f>
        <v>0</v>
      </c>
      <c r="K75" s="174">
        <f ca="1">K73-K53</f>
        <v>0</v>
      </c>
      <c r="L75" s="174">
        <f ca="1">L73-L53</f>
        <v>0</v>
      </c>
      <c r="M75" s="174">
        <f t="shared" ref="M75:R75" ca="1" si="73">M73-M53</f>
        <v>0</v>
      </c>
      <c r="N75" s="174">
        <f t="shared" ca="1" si="73"/>
        <v>0</v>
      </c>
      <c r="O75" s="348">
        <f t="shared" ca="1" si="73"/>
        <v>0</v>
      </c>
      <c r="P75" s="173">
        <f t="shared" ca="1" si="73"/>
        <v>0</v>
      </c>
      <c r="Q75" s="258">
        <f t="shared" ca="1" si="73"/>
        <v>0</v>
      </c>
      <c r="R75" s="173">
        <f t="shared" ca="1" si="73"/>
        <v>0</v>
      </c>
      <c r="S75" s="97"/>
    </row>
    <row r="76" spans="1:19" x14ac:dyDescent="0.3">
      <c r="E76" s="97"/>
      <c r="F76" s="97"/>
      <c r="G76" s="97"/>
      <c r="H76" s="97"/>
      <c r="I76" s="97"/>
      <c r="J76" s="97"/>
      <c r="K76" s="97"/>
      <c r="L76" s="97"/>
      <c r="M76" s="97"/>
      <c r="N76" s="97"/>
      <c r="O76" s="97"/>
      <c r="P76" s="97"/>
      <c r="Q76" s="97"/>
      <c r="R76" s="97"/>
      <c r="S76" s="97"/>
    </row>
    <row r="77" spans="1:19" x14ac:dyDescent="0.3">
      <c r="K77" s="260"/>
    </row>
    <row r="78" spans="1:19" s="8" customFormat="1" ht="21" x14ac:dyDescent="0.4">
      <c r="A78" t="s">
        <v>3</v>
      </c>
      <c r="B78" s="9" t="s">
        <v>235</v>
      </c>
    </row>
    <row r="80" spans="1:19" ht="15" thickBot="1" x14ac:dyDescent="0.35">
      <c r="F80" s="83">
        <v>2021</v>
      </c>
      <c r="G80" s="83">
        <v>2022</v>
      </c>
      <c r="H80" s="83">
        <v>2023</v>
      </c>
      <c r="I80" s="83">
        <v>2024</v>
      </c>
      <c r="J80" s="80">
        <v>2025</v>
      </c>
      <c r="K80" s="80">
        <v>2026</v>
      </c>
      <c r="L80" s="80">
        <v>2027</v>
      </c>
      <c r="M80" s="80">
        <v>2028</v>
      </c>
      <c r="N80" s="80">
        <v>2029</v>
      </c>
      <c r="O80" s="80">
        <v>2030</v>
      </c>
      <c r="P80" s="80">
        <v>2031</v>
      </c>
      <c r="Q80" s="238">
        <v>2026</v>
      </c>
      <c r="R80" s="238">
        <v>2026</v>
      </c>
    </row>
    <row r="82" spans="2:18" x14ac:dyDescent="0.3">
      <c r="B82" s="165" t="s">
        <v>236</v>
      </c>
      <c r="C82" s="54"/>
      <c r="D82" s="54"/>
      <c r="E82" s="54"/>
      <c r="F82" s="54"/>
      <c r="G82" s="54"/>
      <c r="H82" s="54"/>
    </row>
    <row r="83" spans="2:18" x14ac:dyDescent="0.3">
      <c r="B83" t="s">
        <v>207</v>
      </c>
      <c r="F83" s="107">
        <f>'Spectris Raw Data '!D105</f>
        <v>344</v>
      </c>
      <c r="G83" s="107">
        <f>'Spectris Raw Data '!E105</f>
        <v>424.90000000000003</v>
      </c>
      <c r="H83" s="107">
        <f>'Spectris Raw Data '!F105</f>
        <v>127.2</v>
      </c>
      <c r="I83" s="107">
        <f>'Spectris Raw Data '!G105</f>
        <v>244.89999999999998</v>
      </c>
      <c r="J83" s="97">
        <f ca="1">J31</f>
        <v>100.35249447806808</v>
      </c>
      <c r="K83" s="97">
        <f t="shared" ref="K83:R83" ca="1" si="74">K31</f>
        <v>79.131760992990451</v>
      </c>
      <c r="L83" s="97">
        <f t="shared" ca="1" si="74"/>
        <v>79.41429125094254</v>
      </c>
      <c r="M83" s="97">
        <f t="shared" ca="1" si="74"/>
        <v>98.52599745478318</v>
      </c>
      <c r="N83" s="97">
        <f t="shared" ca="1" si="74"/>
        <v>120.54287482663207</v>
      </c>
      <c r="O83" s="97">
        <f t="shared" ca="1" si="74"/>
        <v>148.25749017386138</v>
      </c>
      <c r="P83" s="97">
        <f t="shared" ca="1" si="74"/>
        <v>176.41862453420688</v>
      </c>
      <c r="Q83" s="249">
        <f t="shared" ca="1" si="74"/>
        <v>37.674225862000611</v>
      </c>
      <c r="R83" s="97">
        <f t="shared" ca="1" si="74"/>
        <v>41.457535130989939</v>
      </c>
    </row>
    <row r="84" spans="2:18" x14ac:dyDescent="0.3">
      <c r="B84" t="s">
        <v>201</v>
      </c>
      <c r="F84" s="107">
        <f>SUM('Spectris Raw Data '!D106:D107)</f>
        <v>50.3</v>
      </c>
      <c r="G84" s="107">
        <f>SUM('Spectris Raw Data '!E106:E107)</f>
        <v>61.099999999999994</v>
      </c>
      <c r="H84" s="107">
        <f>SUM('Spectris Raw Data '!F106:F107)</f>
        <v>57.699999999999996</v>
      </c>
      <c r="I84" s="107">
        <f>SUM('Spectris Raw Data '!G106:G107)</f>
        <v>61</v>
      </c>
      <c r="J84" s="97">
        <f>-J22-J27</f>
        <v>68.480751166425335</v>
      </c>
      <c r="K84" s="97">
        <f t="shared" ref="K84:R84" ca="1" si="75">-K22-K27</f>
        <v>74.212313364415593</v>
      </c>
      <c r="L84" s="97">
        <f t="shared" ca="1" si="75"/>
        <v>77.949628262251935</v>
      </c>
      <c r="M84" s="97">
        <f t="shared" ca="1" si="75"/>
        <v>80.767973786386605</v>
      </c>
      <c r="N84" s="97">
        <f t="shared" ca="1" si="75"/>
        <v>83.584000427795743</v>
      </c>
      <c r="O84" s="97">
        <f t="shared" ca="1" si="75"/>
        <v>86.372664999017388</v>
      </c>
      <c r="P84" s="97">
        <f ca="1">-P22-P27</f>
        <v>89.107846557513142</v>
      </c>
      <c r="Q84" s="249">
        <f t="shared" si="75"/>
        <v>17.444423436121347</v>
      </c>
      <c r="R84" s="97">
        <f t="shared" ca="1" si="75"/>
        <v>56.767889928294245</v>
      </c>
    </row>
    <row r="85" spans="2:18" x14ac:dyDescent="0.3">
      <c r="B85" t="s">
        <v>237</v>
      </c>
      <c r="F85" s="107">
        <f>SUM('Spectris Raw Data '!D117:D120,'Spectris Raw Data '!D122)</f>
        <v>-33.200000000000003</v>
      </c>
      <c r="G85" s="107">
        <f>SUM('Spectris Raw Data '!E117:E120,'Spectris Raw Data '!E122)</f>
        <v>-96.5</v>
      </c>
      <c r="H85" s="107">
        <f>SUM('Spectris Raw Data '!F117:F120,'Spectris Raw Data '!F122)</f>
        <v>-36.299999999999997</v>
      </c>
      <c r="I85" s="107">
        <f>SUM('Spectris Raw Data '!G117:G120,'Spectris Raw Data '!G122)</f>
        <v>-40</v>
      </c>
      <c r="J85" s="97">
        <f>J207</f>
        <v>11.173200399949394</v>
      </c>
      <c r="K85" s="97">
        <f t="shared" ref="K85:P85" si="76">K207</f>
        <v>-13.740343265673857</v>
      </c>
      <c r="L85" s="97">
        <f t="shared" si="76"/>
        <v>-10.968259456686042</v>
      </c>
      <c r="M85" s="97">
        <f t="shared" si="76"/>
        <v>-13.621727007064919</v>
      </c>
      <c r="N85" s="97">
        <f t="shared" si="76"/>
        <v>-14.171005307611836</v>
      </c>
      <c r="O85" s="97">
        <f t="shared" si="76"/>
        <v>-14.686339482787616</v>
      </c>
      <c r="P85" s="97">
        <f t="shared" si="76"/>
        <v>-15.165070941863519</v>
      </c>
      <c r="Q85" s="249">
        <f t="shared" ref="Q85:R85" si="77">Q207</f>
        <v>-13.740343265673857</v>
      </c>
      <c r="R85" s="97">
        <f t="shared" si="77"/>
        <v>0</v>
      </c>
    </row>
    <row r="86" spans="2:18" x14ac:dyDescent="0.3">
      <c r="B86" t="s">
        <v>238</v>
      </c>
      <c r="F86" s="107">
        <f>SUM('Spectris Raw Data '!D110:D116,'Spectris Raw Data '!D121,'Spectris Raw Data '!D109)</f>
        <v>-219.9</v>
      </c>
      <c r="G86" s="107">
        <f>SUM('Spectris Raw Data '!E110:E116,'Spectris Raw Data '!E121,'Spectris Raw Data '!E109)</f>
        <v>-287.3</v>
      </c>
      <c r="H86" s="107">
        <f>SUM('Spectris Raw Data '!F110:F116,'Spectris Raw Data '!F121,'Spectris Raw Data '!F109)</f>
        <v>30</v>
      </c>
      <c r="I86" s="107">
        <f>SUM('Spectris Raw Data '!G110:G116,'Spectris Raw Data '!G121,'Spectris Raw Data '!G109)</f>
        <v>-203.2</v>
      </c>
      <c r="J86" s="97">
        <f>J213</f>
        <v>10.345008676040472</v>
      </c>
      <c r="K86" s="97">
        <f t="shared" ref="K86:P86" si="78">K213</f>
        <v>0.8860360903155744</v>
      </c>
      <c r="L86" s="97">
        <f>L213</f>
        <v>1.4928583596667302</v>
      </c>
      <c r="M86" s="97">
        <f t="shared" si="78"/>
        <v>1.8520234290358673</v>
      </c>
      <c r="N86" s="97">
        <f t="shared" si="78"/>
        <v>1.8624678981760425</v>
      </c>
      <c r="O86" s="97">
        <f t="shared" si="78"/>
        <v>1.8580789349514966</v>
      </c>
      <c r="P86" s="97">
        <f t="shared" si="78"/>
        <v>1.838122979444524</v>
      </c>
      <c r="Q86" s="249">
        <f t="shared" ref="Q86:R86" si="79">Q213</f>
        <v>0.8860360903155744</v>
      </c>
      <c r="R86" s="97">
        <f t="shared" si="79"/>
        <v>0</v>
      </c>
    </row>
    <row r="87" spans="2:18" x14ac:dyDescent="0.3">
      <c r="B87" s="11" t="s">
        <v>239</v>
      </c>
      <c r="F87" s="98">
        <f>SUM(F83:F86)</f>
        <v>141.20000000000002</v>
      </c>
      <c r="G87" s="98">
        <f t="shared" ref="G87:J87" si="80">SUM(G83:G86)</f>
        <v>102.19999999999999</v>
      </c>
      <c r="H87" s="98">
        <f t="shared" si="80"/>
        <v>178.60000000000002</v>
      </c>
      <c r="I87" s="98">
        <f t="shared" si="80"/>
        <v>62.699999999999989</v>
      </c>
      <c r="J87" s="98">
        <f t="shared" ca="1" si="80"/>
        <v>190.35145472048328</v>
      </c>
      <c r="K87" s="98">
        <f t="shared" ref="K87:P87" ca="1" si="81">SUM(K83:K86)</f>
        <v>140.48976718204776</v>
      </c>
      <c r="L87" s="98">
        <f t="shared" ca="1" si="81"/>
        <v>147.88851841617517</v>
      </c>
      <c r="M87" s="98">
        <f t="shared" ca="1" si="81"/>
        <v>167.52426766314073</v>
      </c>
      <c r="N87" s="98">
        <f t="shared" ca="1" si="81"/>
        <v>191.81833784499204</v>
      </c>
      <c r="O87" s="98">
        <f t="shared" ca="1" si="81"/>
        <v>221.80189462504265</v>
      </c>
      <c r="P87" s="98">
        <f t="shared" ca="1" si="81"/>
        <v>252.19952312930107</v>
      </c>
      <c r="Q87" s="252">
        <f t="shared" ref="Q87:R87" ca="1" si="82">SUM(Q83:Q86)</f>
        <v>42.264342122763679</v>
      </c>
      <c r="R87" s="98">
        <f t="shared" ca="1" si="82"/>
        <v>98.225425059284191</v>
      </c>
    </row>
    <row r="88" spans="2:18" x14ac:dyDescent="0.3">
      <c r="F88" s="97"/>
      <c r="G88" s="97"/>
      <c r="H88" s="97"/>
      <c r="I88" s="97"/>
      <c r="J88" s="97"/>
      <c r="K88" s="97"/>
      <c r="L88" s="97"/>
      <c r="M88" s="97"/>
      <c r="N88" s="97"/>
      <c r="O88" s="97"/>
      <c r="P88" s="97"/>
      <c r="Q88" s="248"/>
    </row>
    <row r="89" spans="2:18" x14ac:dyDescent="0.3">
      <c r="B89" s="11" t="s">
        <v>240</v>
      </c>
      <c r="F89" s="97"/>
      <c r="G89" s="97"/>
      <c r="H89" s="97"/>
      <c r="I89" s="97"/>
      <c r="J89" s="97"/>
      <c r="K89" s="97"/>
      <c r="L89" s="97"/>
      <c r="M89" s="97"/>
      <c r="N89" s="97"/>
      <c r="O89" s="97"/>
      <c r="P89" s="97"/>
      <c r="Q89" s="248"/>
    </row>
    <row r="90" spans="2:18" x14ac:dyDescent="0.3">
      <c r="B90" t="s">
        <v>241</v>
      </c>
      <c r="F90" s="107">
        <f>'Spectris Raw Data '!D125</f>
        <v>-35.299999999999997</v>
      </c>
      <c r="G90" s="107">
        <f>'Spectris Raw Data '!E125</f>
        <v>-44.9</v>
      </c>
      <c r="H90" s="107">
        <f>'Spectris Raw Data '!F125</f>
        <v>-24.7</v>
      </c>
      <c r="I90" s="107">
        <f>'Spectris Raw Data '!G125</f>
        <v>-51.7</v>
      </c>
      <c r="J90" s="97">
        <f>-J221</f>
        <v>-47.050000000000075</v>
      </c>
      <c r="K90" s="97">
        <f t="shared" ref="K90:R90" si="83">-K221</f>
        <v>-52.459996789828644</v>
      </c>
      <c r="L90" s="97">
        <f t="shared" si="83"/>
        <v>-59.040888021288154</v>
      </c>
      <c r="M90" s="97">
        <f t="shared" si="83"/>
        <v>-66.666128915173871</v>
      </c>
      <c r="N90" s="97">
        <f t="shared" si="83"/>
        <v>-74.958742458651514</v>
      </c>
      <c r="O90" s="97">
        <f t="shared" si="83"/>
        <v>-83.942337769624473</v>
      </c>
      <c r="P90" s="97">
        <f t="shared" si="83"/>
        <v>-93.636182117085667</v>
      </c>
      <c r="Q90" s="249">
        <f t="shared" si="83"/>
        <v>-13.114999197457161</v>
      </c>
      <c r="R90" s="97">
        <f t="shared" si="83"/>
        <v>-39.344997592371485</v>
      </c>
    </row>
    <row r="91" spans="2:18" x14ac:dyDescent="0.3">
      <c r="B91" t="s">
        <v>242</v>
      </c>
      <c r="F91" s="107">
        <f>SUM('Spectris Raw Data '!D126:D129)</f>
        <v>198.2</v>
      </c>
      <c r="G91" s="107">
        <f>SUM('Spectris Raw Data '!E126:E129)</f>
        <v>261.2</v>
      </c>
      <c r="H91" s="107">
        <f>SUM('Spectris Raw Data '!F126:F129)</f>
        <v>-50.9</v>
      </c>
      <c r="I91" s="107">
        <f>SUM('Spectris Raw Data '!G126:G129)</f>
        <v>-503.40000000000003</v>
      </c>
      <c r="J91" s="97">
        <v>0</v>
      </c>
      <c r="K91" s="97">
        <v>0</v>
      </c>
      <c r="L91" s="97">
        <v>0</v>
      </c>
      <c r="M91" s="97">
        <v>0</v>
      </c>
      <c r="N91" s="97">
        <v>0</v>
      </c>
      <c r="O91" s="97">
        <v>0</v>
      </c>
      <c r="P91" s="97">
        <v>0</v>
      </c>
      <c r="Q91" s="249">
        <v>0</v>
      </c>
      <c r="R91" s="97">
        <v>0</v>
      </c>
    </row>
    <row r="92" spans="2:18" x14ac:dyDescent="0.3">
      <c r="B92" t="s">
        <v>243</v>
      </c>
      <c r="F92" s="107">
        <f>SUM('Spectris Raw Data '!D130:D134)</f>
        <v>38.9</v>
      </c>
      <c r="G92" s="107">
        <f>SUM('Spectris Raw Data '!E130:E134)</f>
        <v>1.9</v>
      </c>
      <c r="H92" s="107">
        <f>SUM('Spectris Raw Data '!F130:F134)</f>
        <v>5.4</v>
      </c>
      <c r="I92" s="107">
        <f>SUM('Spectris Raw Data '!G130:G134)</f>
        <v>7.1</v>
      </c>
      <c r="J92" s="97">
        <v>0</v>
      </c>
      <c r="K92" s="97">
        <v>0</v>
      </c>
      <c r="L92" s="97">
        <v>0</v>
      </c>
      <c r="M92" s="97">
        <v>0</v>
      </c>
      <c r="N92" s="97">
        <v>0</v>
      </c>
      <c r="O92" s="97">
        <v>0</v>
      </c>
      <c r="P92" s="97">
        <v>0</v>
      </c>
      <c r="Q92" s="249">
        <v>0</v>
      </c>
      <c r="R92" s="97">
        <v>0</v>
      </c>
    </row>
    <row r="93" spans="2:18" x14ac:dyDescent="0.3">
      <c r="B93" s="11" t="s">
        <v>244</v>
      </c>
      <c r="F93" s="98">
        <f>SUM(F90:F92)</f>
        <v>201.79999999999998</v>
      </c>
      <c r="G93" s="98">
        <f t="shared" ref="G93:J93" si="84">SUM(G90:G92)</f>
        <v>218.2</v>
      </c>
      <c r="H93" s="98">
        <f t="shared" si="84"/>
        <v>-70.199999999999989</v>
      </c>
      <c r="I93" s="98">
        <f t="shared" si="84"/>
        <v>-548</v>
      </c>
      <c r="J93" s="98">
        <f t="shared" si="84"/>
        <v>-47.050000000000075</v>
      </c>
      <c r="K93" s="98">
        <f t="shared" ref="K93:R93" si="85">SUM(K90:K92)</f>
        <v>-52.459996789828644</v>
      </c>
      <c r="L93" s="98">
        <f t="shared" si="85"/>
        <v>-59.040888021288154</v>
      </c>
      <c r="M93" s="98">
        <f t="shared" si="85"/>
        <v>-66.666128915173871</v>
      </c>
      <c r="N93" s="98">
        <f t="shared" si="85"/>
        <v>-74.958742458651514</v>
      </c>
      <c r="O93" s="98">
        <f t="shared" si="85"/>
        <v>-83.942337769624473</v>
      </c>
      <c r="P93" s="98">
        <f t="shared" si="85"/>
        <v>-93.636182117085667</v>
      </c>
      <c r="Q93" s="252">
        <f t="shared" si="85"/>
        <v>-13.114999197457161</v>
      </c>
      <c r="R93" s="98">
        <f t="shared" si="85"/>
        <v>-39.344997592371485</v>
      </c>
    </row>
    <row r="94" spans="2:18" x14ac:dyDescent="0.3">
      <c r="F94" s="97"/>
      <c r="G94" s="97"/>
      <c r="H94" s="97"/>
      <c r="I94" s="97"/>
      <c r="J94" s="97"/>
      <c r="K94" s="97"/>
      <c r="L94" s="97"/>
      <c r="M94" s="97"/>
      <c r="N94" s="97"/>
      <c r="O94" s="97"/>
      <c r="P94" s="97"/>
      <c r="Q94" s="248"/>
    </row>
    <row r="95" spans="2:18" x14ac:dyDescent="0.3">
      <c r="F95" s="97"/>
      <c r="G95" s="97"/>
      <c r="H95" s="97"/>
      <c r="I95" s="97"/>
      <c r="J95" s="97"/>
      <c r="K95" s="97"/>
      <c r="L95" s="97"/>
      <c r="M95" s="97"/>
      <c r="N95" s="97"/>
      <c r="O95" s="97"/>
      <c r="P95" s="97"/>
      <c r="Q95" s="248"/>
    </row>
    <row r="96" spans="2:18" x14ac:dyDescent="0.3">
      <c r="B96" s="11" t="s">
        <v>245</v>
      </c>
      <c r="F96" s="97"/>
      <c r="G96" s="97"/>
      <c r="H96" s="97"/>
      <c r="I96" s="97"/>
      <c r="J96" s="97"/>
      <c r="K96" s="97"/>
      <c r="L96" s="97"/>
      <c r="M96" s="97"/>
      <c r="N96" s="97"/>
      <c r="O96" s="97"/>
      <c r="P96" s="97"/>
      <c r="Q96" s="248"/>
    </row>
    <row r="97" spans="2:19" x14ac:dyDescent="0.3">
      <c r="B97" t="s">
        <v>246</v>
      </c>
      <c r="F97" s="97">
        <v>0</v>
      </c>
      <c r="G97" s="97">
        <v>0</v>
      </c>
      <c r="H97" s="97">
        <v>0</v>
      </c>
      <c r="I97" s="97">
        <v>0</v>
      </c>
      <c r="J97" s="97">
        <f>I97</f>
        <v>0</v>
      </c>
      <c r="K97" s="107">
        <f>'Transaction Details'!C16*(-1)</f>
        <v>-4146.1876569999995</v>
      </c>
      <c r="L97" s="97">
        <v>0</v>
      </c>
      <c r="M97" s="97">
        <v>0</v>
      </c>
      <c r="N97" s="97">
        <v>0</v>
      </c>
      <c r="O97" s="97">
        <v>0</v>
      </c>
      <c r="P97" s="97">
        <v>0</v>
      </c>
      <c r="Q97" s="249">
        <v>0</v>
      </c>
      <c r="R97" s="97">
        <f>K97</f>
        <v>-4146.1876569999995</v>
      </c>
    </row>
    <row r="98" spans="2:19" x14ac:dyDescent="0.3">
      <c r="B98" t="s">
        <v>247</v>
      </c>
      <c r="F98" s="107">
        <f>SUM('Spectris Raw Data '!D137:D138)</f>
        <v>-99.800000000000011</v>
      </c>
      <c r="G98" s="107">
        <f>SUM('Spectris Raw Data '!E137:E138)</f>
        <v>-0.60000000000002274</v>
      </c>
      <c r="H98" s="107">
        <f>SUM('Spectris Raw Data '!F137:F138)</f>
        <v>-0.1</v>
      </c>
      <c r="I98" s="107">
        <f>SUM('Spectris Raw Data '!G137:G138)</f>
        <v>606.70000000000005</v>
      </c>
      <c r="J98" s="97">
        <f ca="1">J281</f>
        <v>-136.00233265726615</v>
      </c>
      <c r="K98" s="97">
        <f ca="1">K281</f>
        <v>-518.69766734273378</v>
      </c>
      <c r="L98" s="97">
        <v>0</v>
      </c>
      <c r="M98" s="97">
        <v>0</v>
      </c>
      <c r="N98" s="97">
        <v>0</v>
      </c>
      <c r="O98" s="97">
        <v>0</v>
      </c>
      <c r="P98" s="97">
        <v>0</v>
      </c>
      <c r="Q98" s="249">
        <f ca="1">SUM(Q273)</f>
        <v>-28.534587389265951</v>
      </c>
      <c r="R98" s="97">
        <f ca="1">SUM(R273)</f>
        <v>-490.16307995346784</v>
      </c>
      <c r="S98" s="97"/>
    </row>
    <row r="99" spans="2:19" x14ac:dyDescent="0.3">
      <c r="B99" t="s">
        <v>248</v>
      </c>
      <c r="F99" s="107">
        <f>SUM('Spectris Raw Data '!D139,'Spectris Raw Data '!D143:D144)</f>
        <v>0.3</v>
      </c>
      <c r="G99" s="107">
        <f>SUM('Spectris Raw Data '!E139,'Spectris Raw Data '!E143:E144)</f>
        <v>0.2</v>
      </c>
      <c r="H99" s="107">
        <f>SUM('Spectris Raw Data '!F139,'Spectris Raw Data '!F143:F144)</f>
        <v>0.6</v>
      </c>
      <c r="I99" s="107">
        <f>SUM('Spectris Raw Data '!G139,'Spectris Raw Data '!G143:G144)</f>
        <v>40.1</v>
      </c>
      <c r="J99" s="97">
        <v>0</v>
      </c>
      <c r="K99" s="97">
        <v>0</v>
      </c>
      <c r="L99" s="97">
        <v>0</v>
      </c>
      <c r="M99" s="97">
        <v>0</v>
      </c>
      <c r="N99" s="97">
        <v>0</v>
      </c>
      <c r="O99" s="97">
        <v>0</v>
      </c>
      <c r="P99" s="97">
        <v>0</v>
      </c>
      <c r="Q99" s="249">
        <v>0</v>
      </c>
      <c r="R99" s="97">
        <f t="shared" ref="R99:R107" si="86">K99</f>
        <v>0</v>
      </c>
    </row>
    <row r="100" spans="2:19" x14ac:dyDescent="0.3">
      <c r="B100" t="s">
        <v>249</v>
      </c>
      <c r="F100" s="107">
        <f>SUM('Spectris Raw Data '!D140:D142)</f>
        <v>-280.3</v>
      </c>
      <c r="G100" s="107">
        <f>SUM('Spectris Raw Data '!E140:E142)</f>
        <v>-269.60000000000002</v>
      </c>
      <c r="H100" s="107">
        <f>SUM('Spectris Raw Data '!F140:F142)</f>
        <v>-194.60000000000002</v>
      </c>
      <c r="I100" s="107">
        <f>SUM('Spectris Raw Data '!G140:G142)</f>
        <v>-177.2</v>
      </c>
      <c r="J100" s="97">
        <f>J232</f>
        <v>-80.78</v>
      </c>
      <c r="K100" s="97">
        <v>0</v>
      </c>
      <c r="L100" s="97">
        <v>0</v>
      </c>
      <c r="M100" s="97">
        <v>0</v>
      </c>
      <c r="N100" s="97">
        <v>0</v>
      </c>
      <c r="O100" s="97">
        <v>0</v>
      </c>
      <c r="P100" s="97">
        <v>0</v>
      </c>
      <c r="Q100" s="249">
        <v>0</v>
      </c>
      <c r="R100" s="97">
        <f t="shared" si="86"/>
        <v>0</v>
      </c>
    </row>
    <row r="101" spans="2:19" x14ac:dyDescent="0.3">
      <c r="B101" t="s">
        <v>250</v>
      </c>
      <c r="F101" s="97">
        <v>0</v>
      </c>
      <c r="G101" s="97">
        <v>0</v>
      </c>
      <c r="H101" s="97">
        <v>0</v>
      </c>
      <c r="I101" s="97">
        <v>0</v>
      </c>
      <c r="J101" s="97">
        <v>0</v>
      </c>
      <c r="K101" s="107">
        <f ca="1">'Transaction Details'!F12</f>
        <v>3036.4027516925362</v>
      </c>
      <c r="L101" s="97">
        <v>0</v>
      </c>
      <c r="M101" s="97">
        <v>0</v>
      </c>
      <c r="N101" s="97">
        <v>0</v>
      </c>
      <c r="O101" s="97">
        <v>0</v>
      </c>
      <c r="P101" s="97">
        <v>0</v>
      </c>
      <c r="Q101" s="249">
        <v>0</v>
      </c>
      <c r="R101" s="97">
        <f t="shared" ca="1" si="86"/>
        <v>3036.4027516925362</v>
      </c>
    </row>
    <row r="102" spans="2:19" x14ac:dyDescent="0.3">
      <c r="B102" t="s">
        <v>251</v>
      </c>
      <c r="F102" s="97">
        <v>0</v>
      </c>
      <c r="G102" s="97">
        <v>0</v>
      </c>
      <c r="H102" s="97">
        <v>0</v>
      </c>
      <c r="I102" s="97">
        <v>0</v>
      </c>
      <c r="J102" s="97">
        <v>0</v>
      </c>
      <c r="K102" s="107">
        <f ca="1">-'Outputs '!M7</f>
        <v>0</v>
      </c>
      <c r="L102" s="97">
        <v>0</v>
      </c>
      <c r="M102" s="97">
        <v>0</v>
      </c>
      <c r="N102" s="97">
        <v>0</v>
      </c>
      <c r="O102" s="97">
        <v>0</v>
      </c>
      <c r="P102" s="97">
        <v>0</v>
      </c>
      <c r="Q102" s="249">
        <v>0</v>
      </c>
      <c r="R102" s="97">
        <f ca="1">K102</f>
        <v>0</v>
      </c>
    </row>
    <row r="103" spans="2:19" x14ac:dyDescent="0.3">
      <c r="B103" t="s">
        <v>252</v>
      </c>
      <c r="D103" s="97"/>
      <c r="F103" s="97">
        <v>0</v>
      </c>
      <c r="G103" s="97">
        <v>0</v>
      </c>
      <c r="H103" s="97">
        <v>0</v>
      </c>
      <c r="I103" s="97">
        <v>0</v>
      </c>
      <c r="J103" s="97">
        <v>0</v>
      </c>
      <c r="K103" s="97">
        <f ca="1">R305</f>
        <v>141.11957253308731</v>
      </c>
      <c r="L103" s="97">
        <f ca="1">L304</f>
        <v>-80.939675954020231</v>
      </c>
      <c r="M103" s="97">
        <f t="shared" ref="M103:P103" ca="1" si="87">M304</f>
        <v>-60.179896579067076</v>
      </c>
      <c r="N103" s="97">
        <f t="shared" ca="1" si="87"/>
        <v>0</v>
      </c>
      <c r="O103" s="97">
        <f t="shared" ca="1" si="87"/>
        <v>0</v>
      </c>
      <c r="P103" s="97">
        <f t="shared" ca="1" si="87"/>
        <v>0</v>
      </c>
      <c r="Q103" s="249">
        <v>0</v>
      </c>
      <c r="R103" s="97">
        <f ca="1">K103</f>
        <v>141.11957253308731</v>
      </c>
    </row>
    <row r="104" spans="2:19" x14ac:dyDescent="0.3">
      <c r="B104" t="s">
        <v>253</v>
      </c>
      <c r="D104" s="97"/>
      <c r="F104" s="97">
        <v>0</v>
      </c>
      <c r="G104" s="97">
        <v>0</v>
      </c>
      <c r="H104" s="97">
        <v>0</v>
      </c>
      <c r="I104" s="97">
        <v>0</v>
      </c>
      <c r="J104" s="97">
        <v>0</v>
      </c>
      <c r="K104" s="97">
        <f>R339</f>
        <v>858</v>
      </c>
      <c r="L104" s="97">
        <f ca="1">L379</f>
        <v>0</v>
      </c>
      <c r="M104" s="97">
        <f t="shared" ref="M104:P104" ca="1" si="88">M379</f>
        <v>-16.287454316316534</v>
      </c>
      <c r="N104" s="97">
        <f t="shared" ca="1" si="88"/>
        <v>-54.493633851058647</v>
      </c>
      <c r="O104" s="97">
        <f t="shared" ca="1" si="88"/>
        <v>-65.304866057853715</v>
      </c>
      <c r="P104" s="97">
        <f t="shared" ca="1" si="88"/>
        <v>-76.025139990888675</v>
      </c>
      <c r="Q104" s="249">
        <v>0</v>
      </c>
      <c r="R104" s="97">
        <f t="shared" si="86"/>
        <v>858</v>
      </c>
    </row>
    <row r="105" spans="2:19" x14ac:dyDescent="0.3">
      <c r="B105" t="s">
        <v>254</v>
      </c>
      <c r="F105" s="97">
        <v>0</v>
      </c>
      <c r="G105" s="97">
        <v>0</v>
      </c>
      <c r="H105" s="97">
        <v>0</v>
      </c>
      <c r="I105" s="97">
        <v>0</v>
      </c>
      <c r="J105" s="97">
        <v>0</v>
      </c>
      <c r="K105" s="97">
        <f>R353</f>
        <v>684</v>
      </c>
      <c r="L105" s="97">
        <f ca="1">L380</f>
        <v>-6.84</v>
      </c>
      <c r="M105" s="97">
        <f t="shared" ref="M105:P105" ca="1" si="89">M380</f>
        <v>-23.059054316316534</v>
      </c>
      <c r="N105" s="97">
        <f t="shared" ca="1" si="89"/>
        <v>-61.034643307895479</v>
      </c>
      <c r="O105" s="97">
        <f t="shared" ca="1" si="89"/>
        <v>-71.235529081611588</v>
      </c>
      <c r="P105" s="97">
        <f t="shared" ca="1" si="89"/>
        <v>-81.243447723830442</v>
      </c>
      <c r="Q105" s="249">
        <v>0</v>
      </c>
      <c r="R105" s="97">
        <f t="shared" si="86"/>
        <v>684</v>
      </c>
    </row>
    <row r="106" spans="2:19" x14ac:dyDescent="0.3">
      <c r="B106" t="s">
        <v>255</v>
      </c>
      <c r="F106" s="97">
        <v>0</v>
      </c>
      <c r="G106" s="97">
        <v>0</v>
      </c>
      <c r="H106" s="97">
        <v>0</v>
      </c>
      <c r="I106" s="97">
        <v>0</v>
      </c>
      <c r="J106" s="97">
        <v>0</v>
      </c>
      <c r="K106" s="107">
        <f ca="1">-SUM('Transaction Details'!M27:M28)</f>
        <v>-59.128261599069361</v>
      </c>
      <c r="L106" s="97">
        <v>0</v>
      </c>
      <c r="M106" s="97">
        <v>0</v>
      </c>
      <c r="N106" s="97">
        <v>0</v>
      </c>
      <c r="O106" s="97">
        <v>0</v>
      </c>
      <c r="P106" s="97">
        <v>0</v>
      </c>
      <c r="Q106" s="249">
        <v>0</v>
      </c>
      <c r="R106" s="97">
        <f t="shared" ca="1" si="86"/>
        <v>-59.128261599069361</v>
      </c>
    </row>
    <row r="107" spans="2:19" x14ac:dyDescent="0.3">
      <c r="B107" t="s">
        <v>256</v>
      </c>
      <c r="F107" s="97">
        <v>0</v>
      </c>
      <c r="G107" s="97">
        <v>0</v>
      </c>
      <c r="H107" s="97">
        <v>0</v>
      </c>
      <c r="I107" s="97">
        <v>0</v>
      </c>
      <c r="J107" s="97">
        <v>0</v>
      </c>
      <c r="K107" s="107">
        <f>-'Transaction Details'!M29</f>
        <v>-82.923753139999988</v>
      </c>
      <c r="L107" s="97">
        <v>0</v>
      </c>
      <c r="M107" s="97">
        <v>0</v>
      </c>
      <c r="N107" s="97">
        <v>0</v>
      </c>
      <c r="O107" s="97">
        <v>0</v>
      </c>
      <c r="P107" s="97">
        <v>0</v>
      </c>
      <c r="Q107" s="249">
        <v>0</v>
      </c>
      <c r="R107" s="97">
        <f t="shared" si="86"/>
        <v>-82.923753139999988</v>
      </c>
    </row>
    <row r="108" spans="2:19" x14ac:dyDescent="0.3">
      <c r="B108" s="11" t="s">
        <v>257</v>
      </c>
      <c r="F108" s="98">
        <f>SUM(F97:F107)</f>
        <v>-379.8</v>
      </c>
      <c r="G108" s="98">
        <f t="shared" ref="G108:R108" si="90">SUM(G97:G107)</f>
        <v>-270.00000000000006</v>
      </c>
      <c r="H108" s="98">
        <f t="shared" si="90"/>
        <v>-194.10000000000002</v>
      </c>
      <c r="I108" s="98">
        <f t="shared" si="90"/>
        <v>469.60000000000008</v>
      </c>
      <c r="J108" s="98">
        <f t="shared" ca="1" si="90"/>
        <v>-216.78233265726615</v>
      </c>
      <c r="K108" s="98">
        <f ca="1">SUM(K97:K107)</f>
        <v>-87.4150148561789</v>
      </c>
      <c r="L108" s="98">
        <f t="shared" ca="1" si="90"/>
        <v>-87.779675954020234</v>
      </c>
      <c r="M108" s="98">
        <f t="shared" ca="1" si="90"/>
        <v>-99.526405211700151</v>
      </c>
      <c r="N108" s="98">
        <f t="shared" ca="1" si="90"/>
        <v>-115.52827715895413</v>
      </c>
      <c r="O108" s="98">
        <f t="shared" ca="1" si="90"/>
        <v>-136.54039513946532</v>
      </c>
      <c r="P108" s="98">
        <f t="shared" ca="1" si="90"/>
        <v>-157.2685877147191</v>
      </c>
      <c r="Q108" s="252">
        <f t="shared" ca="1" si="90"/>
        <v>-28.534587389265951</v>
      </c>
      <c r="R108" s="98">
        <f t="shared" ca="1" si="90"/>
        <v>-58.880427466913247</v>
      </c>
    </row>
    <row r="109" spans="2:19" x14ac:dyDescent="0.3">
      <c r="F109" s="97"/>
      <c r="J109" s="97"/>
      <c r="K109" s="97"/>
      <c r="L109" s="97"/>
      <c r="M109" s="97"/>
      <c r="N109" s="97"/>
      <c r="O109" s="97"/>
      <c r="P109" s="97"/>
      <c r="Q109" s="248"/>
    </row>
    <row r="110" spans="2:19" x14ac:dyDescent="0.3">
      <c r="B110" t="s">
        <v>258</v>
      </c>
      <c r="F110" s="107">
        <f>'Spectris Raw Data '!C148</f>
        <v>0.7</v>
      </c>
      <c r="G110" s="107">
        <f>'Spectris Raw Data '!D148</f>
        <v>-6.3</v>
      </c>
      <c r="H110" s="107">
        <f>'Spectris Raw Data '!E148</f>
        <v>9.9</v>
      </c>
      <c r="I110" s="107">
        <f>'Spectris Raw Data '!F148</f>
        <v>-3.6</v>
      </c>
      <c r="J110" s="97">
        <v>0</v>
      </c>
      <c r="K110" s="97">
        <v>0</v>
      </c>
      <c r="L110" s="97">
        <v>0</v>
      </c>
      <c r="M110" s="97">
        <v>0</v>
      </c>
      <c r="N110" s="97">
        <v>0</v>
      </c>
      <c r="O110" s="97">
        <v>0</v>
      </c>
      <c r="P110" s="97">
        <v>0</v>
      </c>
      <c r="Q110" s="249">
        <v>0</v>
      </c>
      <c r="R110" s="97">
        <v>0</v>
      </c>
    </row>
    <row r="111" spans="2:19" x14ac:dyDescent="0.3">
      <c r="B111" t="s">
        <v>238</v>
      </c>
      <c r="F111" s="97">
        <v>-18.299999999999955</v>
      </c>
      <c r="G111" s="97">
        <v>16.200000000000074</v>
      </c>
      <c r="H111" s="97">
        <v>-13.800000000000011</v>
      </c>
      <c r="I111" s="97">
        <v>-13.500000000000071</v>
      </c>
      <c r="J111" s="97">
        <v>0</v>
      </c>
      <c r="K111" s="97">
        <v>0</v>
      </c>
      <c r="L111" s="97">
        <v>0</v>
      </c>
      <c r="M111" s="97">
        <v>0</v>
      </c>
      <c r="N111" s="97">
        <v>0</v>
      </c>
      <c r="O111" s="97">
        <v>0</v>
      </c>
      <c r="P111" s="97">
        <v>0</v>
      </c>
      <c r="Q111" s="249">
        <v>0</v>
      </c>
      <c r="R111" s="97">
        <v>0</v>
      </c>
    </row>
    <row r="112" spans="2:19" x14ac:dyDescent="0.3">
      <c r="F112" s="97"/>
      <c r="J112" s="97"/>
      <c r="K112" s="97"/>
      <c r="L112" s="97"/>
      <c r="M112" s="97"/>
      <c r="N112" s="97"/>
      <c r="O112" s="97"/>
      <c r="P112" s="97"/>
      <c r="Q112" s="248"/>
    </row>
    <row r="113" spans="1:18" x14ac:dyDescent="0.3">
      <c r="B113" s="11" t="s">
        <v>259</v>
      </c>
      <c r="F113" s="97"/>
      <c r="J113" s="97"/>
      <c r="K113" s="97"/>
      <c r="L113" s="97"/>
      <c r="M113" s="97"/>
      <c r="N113" s="97"/>
      <c r="O113" s="97"/>
      <c r="P113" s="97"/>
      <c r="Q113" s="248"/>
    </row>
    <row r="114" spans="1:18" x14ac:dyDescent="0.3">
      <c r="B114" t="s">
        <v>260</v>
      </c>
      <c r="D114" s="222"/>
      <c r="F114" s="107">
        <f>'Spectris Raw Data '!C48</f>
        <v>222.2</v>
      </c>
      <c r="G114" s="107">
        <f>'Spectris Raw Data '!D48</f>
        <v>167.8</v>
      </c>
      <c r="H114" s="107">
        <f>'Spectris Raw Data '!E48</f>
        <v>228.1</v>
      </c>
      <c r="I114" s="107">
        <f>'Spectris Raw Data '!F48</f>
        <v>138.5</v>
      </c>
      <c r="J114" s="97">
        <f>I116</f>
        <v>105.7</v>
      </c>
      <c r="K114" s="97">
        <f t="shared" ref="K114:O114" ca="1" si="91">J116</f>
        <v>32.219122063217029</v>
      </c>
      <c r="L114" s="97">
        <f t="shared" ca="1" si="91"/>
        <v>32.833877599257235</v>
      </c>
      <c r="M114" s="97">
        <f t="shared" ca="1" si="91"/>
        <v>33.901832040124006</v>
      </c>
      <c r="N114" s="97">
        <f t="shared" ca="1" si="91"/>
        <v>35.233565576390717</v>
      </c>
      <c r="O114" s="97">
        <f t="shared" ca="1" si="91"/>
        <v>36.564883803777107</v>
      </c>
      <c r="P114" s="97">
        <f ca="1">O116</f>
        <v>37.884045519729952</v>
      </c>
      <c r="Q114" s="249">
        <f ca="1">J116</f>
        <v>32.219122063217029</v>
      </c>
      <c r="R114" s="97">
        <f ca="1">Q116</f>
        <v>32.833877599257598</v>
      </c>
    </row>
    <row r="115" spans="1:18" x14ac:dyDescent="0.3">
      <c r="B115" t="s">
        <v>261</v>
      </c>
      <c r="D115" s="107"/>
      <c r="F115" s="107">
        <f>SUM(F108,F93,F87,F110,F111)</f>
        <v>-54.399999999999963</v>
      </c>
      <c r="G115" s="107">
        <f>SUM(G108,G93,G87,G110,G111)</f>
        <v>60.3</v>
      </c>
      <c r="H115" s="107">
        <f>SUM(H108,H93,H87,H110,H111)</f>
        <v>-89.6</v>
      </c>
      <c r="I115" s="107">
        <f>SUM(I108,I93,I87,I110,I111)</f>
        <v>-32.800000000000004</v>
      </c>
      <c r="J115" s="97">
        <f ca="1">SUM(J108,J93,J87,J110)</f>
        <v>-73.480877936782974</v>
      </c>
      <c r="K115" s="97">
        <f ca="1">SUM(K108,K93,K87,K110)+D115</f>
        <v>0.61475553604020661</v>
      </c>
      <c r="L115" s="97">
        <f t="shared" ref="L115:P115" ca="1" si="92">SUM(L108,L93,L87,L110)</f>
        <v>1.0679544408667709</v>
      </c>
      <c r="M115" s="97">
        <f t="shared" ca="1" si="92"/>
        <v>1.3317335362667109</v>
      </c>
      <c r="N115" s="97">
        <f t="shared" ca="1" si="92"/>
        <v>1.3313182273863902</v>
      </c>
      <c r="O115" s="97">
        <f t="shared" ca="1" si="92"/>
        <v>1.3191617159528448</v>
      </c>
      <c r="P115" s="97">
        <f t="shared" ca="1" si="92"/>
        <v>1.2947532974962996</v>
      </c>
      <c r="Q115" s="249">
        <f ca="1">SUM(Q108,Q93,Q87,Q110)</f>
        <v>0.61475553604056898</v>
      </c>
      <c r="R115" s="97">
        <f ca="1">SUM(R108,R93,R87,R110)</f>
        <v>-5.4001247917767614E-13</v>
      </c>
    </row>
    <row r="116" spans="1:18" x14ac:dyDescent="0.3">
      <c r="B116" s="11" t="s">
        <v>262</v>
      </c>
      <c r="F116" s="98">
        <f>'Spectris Raw Data '!D48</f>
        <v>167.8</v>
      </c>
      <c r="G116" s="98">
        <f>'Spectris Raw Data '!E48</f>
        <v>228.1</v>
      </c>
      <c r="H116" s="98">
        <f>'Spectris Raw Data '!F48</f>
        <v>138.5</v>
      </c>
      <c r="I116" s="98">
        <f>'Spectris Raw Data '!G48</f>
        <v>105.7</v>
      </c>
      <c r="J116" s="98">
        <f ca="1">SUM(J114:J115)</f>
        <v>32.219122063217029</v>
      </c>
      <c r="K116" s="98">
        <f ca="1">SUM(K114:K115)</f>
        <v>32.833877599257235</v>
      </c>
      <c r="L116" s="98">
        <f t="shared" ref="L116:R116" ca="1" si="93">SUM(L114:L115)</f>
        <v>33.901832040124006</v>
      </c>
      <c r="M116" s="98">
        <f t="shared" ca="1" si="93"/>
        <v>35.233565576390717</v>
      </c>
      <c r="N116" s="98">
        <f t="shared" ca="1" si="93"/>
        <v>36.564883803777107</v>
      </c>
      <c r="O116" s="98">
        <f t="shared" ca="1" si="93"/>
        <v>37.884045519729952</v>
      </c>
      <c r="P116" s="98">
        <f t="shared" ca="1" si="93"/>
        <v>39.178798817226252</v>
      </c>
      <c r="Q116" s="252">
        <f t="shared" ca="1" si="93"/>
        <v>32.833877599257598</v>
      </c>
      <c r="R116" s="98">
        <f t="shared" ca="1" si="93"/>
        <v>32.833877599257058</v>
      </c>
    </row>
    <row r="117" spans="1:18" x14ac:dyDescent="0.3">
      <c r="B117" s="11"/>
      <c r="F117" s="97"/>
      <c r="G117" s="97"/>
      <c r="H117" s="97"/>
      <c r="I117" s="97"/>
      <c r="J117" s="97"/>
    </row>
    <row r="119" spans="1:18" s="8" customFormat="1" ht="21" x14ac:dyDescent="0.4">
      <c r="A119" t="s">
        <v>3</v>
      </c>
      <c r="B119" s="9" t="s">
        <v>263</v>
      </c>
    </row>
    <row r="121" spans="1:18" x14ac:dyDescent="0.3">
      <c r="B121" s="239" t="s">
        <v>264</v>
      </c>
      <c r="C121" s="234">
        <v>0.76</v>
      </c>
    </row>
    <row r="123" spans="1:18" ht="15" thickBot="1" x14ac:dyDescent="0.35">
      <c r="B123" s="11" t="s">
        <v>265</v>
      </c>
      <c r="F123" s="83">
        <v>2021</v>
      </c>
      <c r="G123" s="83">
        <v>2022</v>
      </c>
      <c r="H123" s="83">
        <v>2023</v>
      </c>
      <c r="I123" s="83">
        <v>2024</v>
      </c>
      <c r="J123" s="80">
        <v>2025</v>
      </c>
      <c r="K123" s="80">
        <v>2026</v>
      </c>
      <c r="L123" s="80">
        <v>2027</v>
      </c>
      <c r="M123" s="80">
        <v>2028</v>
      </c>
      <c r="N123" s="80">
        <v>2029</v>
      </c>
      <c r="O123" s="80">
        <v>2030</v>
      </c>
      <c r="P123" s="80">
        <v>2031</v>
      </c>
    </row>
    <row r="125" spans="1:18" x14ac:dyDescent="0.3">
      <c r="B125" t="s">
        <v>266</v>
      </c>
      <c r="F125" s="107">
        <f>'Spectris Raw Data '!D244*'Spectris Raw Data '!D$9</f>
        <v>244.23</v>
      </c>
      <c r="G125" s="107">
        <f>'Spectris Raw Data '!E244*'Spectris Raw Data '!E$9</f>
        <v>318.57600000000002</v>
      </c>
      <c r="H125" s="107">
        <f>'Spectris Raw Data '!F244*'Spectris Raw Data '!F$9</f>
        <v>260.85599999999999</v>
      </c>
      <c r="I125" s="107">
        <f>'Spectris Raw Data '!G244*'Spectris Raw Data '!G$9</f>
        <v>246.75300000000001</v>
      </c>
      <c r="J125" s="107">
        <f>I125*(1+'Inputs and Drivers'!K14)</f>
        <v>264.02571</v>
      </c>
      <c r="K125" s="107">
        <f>J125*(1+'Inputs and Drivers'!L14)</f>
        <v>281.62742400000002</v>
      </c>
      <c r="L125" s="107">
        <f>K125*(1+'Inputs and Drivers'!M14)</f>
        <v>298.52506944000004</v>
      </c>
      <c r="M125" s="107">
        <f>L125*(1+'Inputs and Drivers'!N14)</f>
        <v>316.43657360640003</v>
      </c>
      <c r="N125" s="107">
        <f>M125*(1+'Inputs and Drivers'!O14)</f>
        <v>335.42276802278406</v>
      </c>
      <c r="O125" s="107">
        <f>N125*(1+'Inputs and Drivers'!P14)</f>
        <v>355.54813410415113</v>
      </c>
      <c r="P125" s="107">
        <f>O125*(1+'Inputs and Drivers'!Q14)</f>
        <v>376.88102215040021</v>
      </c>
    </row>
    <row r="126" spans="1:18" x14ac:dyDescent="0.3">
      <c r="B126" s="93" t="s">
        <v>267</v>
      </c>
      <c r="F126" s="107"/>
      <c r="G126" s="131">
        <f>G125/F125-1</f>
        <v>0.30440977766859123</v>
      </c>
      <c r="H126" s="367">
        <f>H125/G125-1</f>
        <v>-0.18118125659183371</v>
      </c>
      <c r="I126" s="367">
        <f>I125/H125-1</f>
        <v>-5.4064311344189875E-2</v>
      </c>
      <c r="J126" s="367">
        <f t="shared" ref="J126:O126" si="94">J125/I125-1</f>
        <v>7.0000000000000062E-2</v>
      </c>
      <c r="K126" s="367">
        <f t="shared" si="94"/>
        <v>6.6666666666666652E-2</v>
      </c>
      <c r="L126" s="367">
        <f t="shared" si="94"/>
        <v>6.0000000000000053E-2</v>
      </c>
      <c r="M126" s="367">
        <f t="shared" si="94"/>
        <v>6.0000000000000053E-2</v>
      </c>
      <c r="N126" s="367">
        <f t="shared" si="94"/>
        <v>6.0000000000000053E-2</v>
      </c>
      <c r="O126" s="367">
        <f t="shared" si="94"/>
        <v>6.0000000000000053E-2</v>
      </c>
      <c r="P126" s="367">
        <f>P125/O125-1</f>
        <v>6.0000000000000053E-2</v>
      </c>
    </row>
    <row r="127" spans="1:18" x14ac:dyDescent="0.3">
      <c r="B127" t="s">
        <v>268</v>
      </c>
      <c r="F127" s="107">
        <f>'Spectris Raw Data '!D245*'Spectris Raw Data '!D$9</f>
        <v>93.04</v>
      </c>
      <c r="G127" s="107">
        <f>'Spectris Raw Data '!E245*'Spectris Raw Data '!E$9</f>
        <v>172.56200000000001</v>
      </c>
      <c r="H127" s="107">
        <f>'Spectris Raw Data '!F245*'Spectris Raw Data '!F$9</f>
        <v>173.904</v>
      </c>
      <c r="I127" s="107">
        <f>'Spectris Raw Data '!G245*'Spectris Raw Data '!G$9</f>
        <v>220.77900000000002</v>
      </c>
      <c r="J127" s="107">
        <f>Model!I127*(1+'Inputs and Drivers'!K19)</f>
        <v>222.98679000000001</v>
      </c>
      <c r="K127" s="107">
        <f>Model!J127*(1+'Inputs and Drivers'!L19)</f>
        <v>228.93310439999999</v>
      </c>
      <c r="L127" s="107">
        <f>Model!K127*(1+'Inputs and Drivers'!M19)</f>
        <v>238.85353892400002</v>
      </c>
      <c r="M127" s="107">
        <f>Model!L127*(1+'Inputs and Drivers'!N19)</f>
        <v>253.18475125944002</v>
      </c>
      <c r="N127" s="107">
        <f>Model!M127*(1+'Inputs and Drivers'!O19)</f>
        <v>268.37583633500645</v>
      </c>
      <c r="O127" s="107">
        <f>Model!N127*(1+'Inputs and Drivers'!P19)</f>
        <v>284.47838651510688</v>
      </c>
      <c r="P127" s="107">
        <f>Model!O127*(1+'Inputs and Drivers'!Q19)</f>
        <v>301.54708970601331</v>
      </c>
    </row>
    <row r="128" spans="1:18" x14ac:dyDescent="0.3">
      <c r="B128" s="93" t="s">
        <v>267</v>
      </c>
      <c r="F128" s="107"/>
      <c r="G128" s="367">
        <f t="shared" ref="G128:P128" si="95">G127/F127-1</f>
        <v>0.8547076526225279</v>
      </c>
      <c r="H128" s="367">
        <f t="shared" si="95"/>
        <v>7.7769149638968749E-3</v>
      </c>
      <c r="I128" s="367">
        <f t="shared" si="95"/>
        <v>0.26954526635385068</v>
      </c>
      <c r="J128" s="367">
        <f t="shared" si="95"/>
        <v>1.0000000000000009E-2</v>
      </c>
      <c r="K128" s="367">
        <f t="shared" si="95"/>
        <v>2.6666666666666616E-2</v>
      </c>
      <c r="L128" s="367">
        <f t="shared" si="95"/>
        <v>4.3333333333333446E-2</v>
      </c>
      <c r="M128" s="367">
        <f t="shared" si="95"/>
        <v>6.0000000000000053E-2</v>
      </c>
      <c r="N128" s="367">
        <f t="shared" si="95"/>
        <v>6.0000000000000053E-2</v>
      </c>
      <c r="O128" s="367">
        <f t="shared" si="95"/>
        <v>6.0000000000000053E-2</v>
      </c>
      <c r="P128" s="367">
        <f t="shared" si="95"/>
        <v>6.0000000000000053E-2</v>
      </c>
    </row>
    <row r="129" spans="2:16" x14ac:dyDescent="0.3">
      <c r="B129" t="s">
        <v>269</v>
      </c>
      <c r="F129" s="107">
        <f>'Spectris Raw Data '!D246*'Spectris Raw Data '!D$9</f>
        <v>139.56</v>
      </c>
      <c r="G129" s="107">
        <f>'Spectris Raw Data '!E246*'Spectris Raw Data '!E$9</f>
        <v>146.01400000000001</v>
      </c>
      <c r="H129" s="107">
        <f>'Spectris Raw Data '!F246*'Spectris Raw Data '!F$9</f>
        <v>231.87200000000001</v>
      </c>
      <c r="I129" s="107">
        <f>'Spectris Raw Data '!G246*'Spectris Raw Data '!G$9</f>
        <v>155.84399999999999</v>
      </c>
      <c r="J129" s="107">
        <f>I129*(1+'Inputs and Drivers'!K24)</f>
        <v>132.4674</v>
      </c>
      <c r="K129" s="107">
        <f>J129*(1+'Inputs and Drivers'!L24)</f>
        <v>122.311566</v>
      </c>
      <c r="L129" s="107">
        <f>K129*(1+'Inputs and Drivers'!M24)</f>
        <v>121.90386078</v>
      </c>
      <c r="M129" s="107">
        <f>L129*(1+'Inputs and Drivers'!N24)</f>
        <v>130.43713103460001</v>
      </c>
      <c r="N129" s="107">
        <f>M129*(1+'Inputs and Drivers'!O24)</f>
        <v>139.56773020702201</v>
      </c>
      <c r="O129" s="107">
        <f>N129*(1+'Inputs and Drivers'!P24)</f>
        <v>149.33747132151356</v>
      </c>
      <c r="P129" s="107">
        <f>O129*(1+'Inputs and Drivers'!Q24)</f>
        <v>159.79109431401952</v>
      </c>
    </row>
    <row r="130" spans="2:16" x14ac:dyDescent="0.3">
      <c r="B130" s="93" t="s">
        <v>267</v>
      </c>
      <c r="F130" s="107"/>
      <c r="G130" s="367">
        <f>G129/F129-1</f>
        <v>4.6245342505015774E-2</v>
      </c>
      <c r="H130" s="367">
        <f>H129/G129-1</f>
        <v>0.58801210842795903</v>
      </c>
      <c r="I130" s="367">
        <f>I129/H129-1</f>
        <v>-0.3278878001656087</v>
      </c>
      <c r="J130" s="367">
        <f t="shared" ref="J130:O130" si="96">J129/I129-1</f>
        <v>-0.15000000000000002</v>
      </c>
      <c r="K130" s="367">
        <f t="shared" si="96"/>
        <v>-7.6666666666666661E-2</v>
      </c>
      <c r="L130" s="367">
        <f t="shared" si="96"/>
        <v>-3.3333333333332993E-3</v>
      </c>
      <c r="M130" s="367">
        <f t="shared" si="96"/>
        <v>7.0000000000000062E-2</v>
      </c>
      <c r="N130" s="367">
        <f t="shared" si="96"/>
        <v>7.0000000000000062E-2</v>
      </c>
      <c r="O130" s="367">
        <f t="shared" si="96"/>
        <v>7.0000000000000062E-2</v>
      </c>
      <c r="P130" s="367">
        <f>P129/O129-1</f>
        <v>7.0000000000000062E-2</v>
      </c>
    </row>
    <row r="131" spans="2:16" x14ac:dyDescent="0.3">
      <c r="B131" t="s">
        <v>270</v>
      </c>
      <c r="F131" s="107">
        <f>'Spectris Raw Data '!D247*'Spectris Raw Data '!D$9</f>
        <v>104.67</v>
      </c>
      <c r="G131" s="107">
        <f>'Spectris Raw Data '!E247*'Spectris Raw Data '!E$9</f>
        <v>119.46600000000001</v>
      </c>
      <c r="H131" s="107">
        <f>'Spectris Raw Data '!F247*'Spectris Raw Data '!F$9</f>
        <v>144.92000000000002</v>
      </c>
      <c r="I131" s="107">
        <f>'Spectris Raw Data '!G247*'Spectris Raw Data '!G$9</f>
        <v>155.84399999999999</v>
      </c>
      <c r="J131" s="107">
        <f>I131*(1+'Inputs and Drivers'!K29)</f>
        <v>166.75308000000001</v>
      </c>
      <c r="K131" s="107">
        <f>J131*(1+'Inputs and Drivers'!L29)</f>
        <v>177.59203020000001</v>
      </c>
      <c r="L131" s="107">
        <f>K131*(1+'Inputs and Drivers'!M29)</f>
        <v>187.35959186100001</v>
      </c>
      <c r="M131" s="107">
        <f>L131*(1+'Inputs and Drivers'!N29)</f>
        <v>197.66436941335499</v>
      </c>
      <c r="N131" s="107">
        <f>M131*(1+'Inputs and Drivers'!O29)</f>
        <v>208.5359097310895</v>
      </c>
      <c r="O131" s="107">
        <f>N131*(1+'Inputs and Drivers'!P29)</f>
        <v>220.00538476629941</v>
      </c>
      <c r="P131" s="107">
        <f>O131*(1+'Inputs and Drivers'!Q29)</f>
        <v>232.10568092844588</v>
      </c>
    </row>
    <row r="132" spans="2:16" x14ac:dyDescent="0.3">
      <c r="B132" s="93" t="s">
        <v>267</v>
      </c>
      <c r="F132" s="107"/>
      <c r="G132" s="367">
        <f>G131/F131-1</f>
        <v>0.14135855546001719</v>
      </c>
      <c r="H132" s="367">
        <f>H131/G131-1</f>
        <v>0.21306480504913528</v>
      </c>
      <c r="I132" s="367">
        <f>I131/H131-1</f>
        <v>7.537951973502599E-2</v>
      </c>
      <c r="J132" s="367">
        <f t="shared" ref="J132:O132" si="97">J131/I131-1</f>
        <v>7.0000000000000062E-2</v>
      </c>
      <c r="K132" s="367">
        <f t="shared" si="97"/>
        <v>6.4999999999999947E-2</v>
      </c>
      <c r="L132" s="367">
        <f t="shared" si="97"/>
        <v>5.4999999999999938E-2</v>
      </c>
      <c r="M132" s="367">
        <f t="shared" si="97"/>
        <v>5.4999999999999938E-2</v>
      </c>
      <c r="N132" s="367">
        <f t="shared" si="97"/>
        <v>5.4999999999999938E-2</v>
      </c>
      <c r="O132" s="367">
        <f t="shared" si="97"/>
        <v>5.4999999999999938E-2</v>
      </c>
      <c r="P132" s="367">
        <f>P131/O131-1</f>
        <v>5.4999999999999938E-2</v>
      </c>
    </row>
    <row r="133" spans="2:16" x14ac:dyDescent="0.3">
      <c r="B133" t="s">
        <v>271</v>
      </c>
      <c r="F133" s="107">
        <f>'Spectris Raw Data '!D248*'Spectris Raw Data '!D$9</f>
        <v>139.56</v>
      </c>
      <c r="G133" s="107">
        <f>'Spectris Raw Data '!E248*'Spectris Raw Data '!E$9</f>
        <v>172.56200000000001</v>
      </c>
      <c r="H133" s="107">
        <f>'Spectris Raw Data '!F248*'Spectris Raw Data '!F$9</f>
        <v>144.92000000000002</v>
      </c>
      <c r="I133" s="107">
        <f>'Spectris Raw Data '!G248*'Spectris Raw Data '!G$9</f>
        <v>142.857</v>
      </c>
      <c r="J133" s="107">
        <f>I133*(1+'Inputs and Drivers'!K34)</f>
        <v>128.57130000000001</v>
      </c>
      <c r="K133" s="107">
        <f>J133*(1+'Inputs and Drivers'!L34)</f>
        <v>122.142735</v>
      </c>
      <c r="L133" s="107">
        <f>K133*(1+'Inputs and Drivers'!M34)</f>
        <v>128.24987175000001</v>
      </c>
      <c r="M133" s="107">
        <f>L133*(1+'Inputs and Drivers'!N34)</f>
        <v>134.66236533750001</v>
      </c>
      <c r="N133" s="107">
        <f>M133*(1+'Inputs and Drivers'!O34)</f>
        <v>141.39548360437502</v>
      </c>
      <c r="O133" s="107">
        <f>N133*(1+'Inputs and Drivers'!P34)</f>
        <v>148.46525778459377</v>
      </c>
      <c r="P133" s="107">
        <f>O133*(1+'Inputs and Drivers'!Q34)</f>
        <v>155.88852067382348</v>
      </c>
    </row>
    <row r="134" spans="2:16" x14ac:dyDescent="0.3">
      <c r="B134" s="93" t="s">
        <v>267</v>
      </c>
      <c r="F134" s="107"/>
      <c r="G134" s="367">
        <f>G133/F133-1</f>
        <v>0.2364717684150186</v>
      </c>
      <c r="H134" s="367">
        <f>H133/G133-1</f>
        <v>-0.16018590419675238</v>
      </c>
      <c r="I134" s="367">
        <f>I133/H133-1</f>
        <v>-1.4235440242892694E-2</v>
      </c>
      <c r="J134" s="367">
        <f t="shared" ref="J134:O134" si="98">J133/I133-1</f>
        <v>-9.9999999999999978E-2</v>
      </c>
      <c r="K134" s="367">
        <f t="shared" si="98"/>
        <v>-5.0000000000000044E-2</v>
      </c>
      <c r="L134" s="367">
        <f t="shared" si="98"/>
        <v>5.0000000000000044E-2</v>
      </c>
      <c r="M134" s="367">
        <f t="shared" si="98"/>
        <v>5.0000000000000044E-2</v>
      </c>
      <c r="N134" s="367">
        <f t="shared" si="98"/>
        <v>5.0000000000000044E-2</v>
      </c>
      <c r="O134" s="367">
        <f t="shared" si="98"/>
        <v>5.0000000000000044E-2</v>
      </c>
      <c r="P134" s="367">
        <f>P133/O133-1</f>
        <v>5.0000000000000044E-2</v>
      </c>
    </row>
    <row r="135" spans="2:16" x14ac:dyDescent="0.3">
      <c r="B135" t="s">
        <v>272</v>
      </c>
      <c r="F135" s="107">
        <f>'Spectris Raw Data '!D249*'Spectris Raw Data '!D$9</f>
        <v>93.04</v>
      </c>
      <c r="G135" s="107">
        <f>'Spectris Raw Data '!E249*'Spectris Raw Data '!E$9</f>
        <v>106.19200000000001</v>
      </c>
      <c r="H135" s="107">
        <f>'Spectris Raw Data '!F249*'Spectris Raw Data '!F$9</f>
        <v>144.92000000000002</v>
      </c>
      <c r="I135" s="107">
        <f>'Spectris Raw Data '!G249*'Spectris Raw Data '!G$9</f>
        <v>116.883</v>
      </c>
      <c r="J135" s="107">
        <f>I135*(1+'Inputs and Drivers'!K39)</f>
        <v>128.57130000000001</v>
      </c>
      <c r="K135" s="107">
        <f>J135*(1+'Inputs and Drivers'!L39)</f>
        <v>139.49986050000001</v>
      </c>
      <c r="L135" s="107">
        <f>K135*(1+'Inputs and Drivers'!M39)</f>
        <v>147.17235282749999</v>
      </c>
      <c r="M135" s="107">
        <f>L135*(1+'Inputs and Drivers'!N39)</f>
        <v>155.26683223301248</v>
      </c>
      <c r="N135" s="107">
        <f>M135*(1+'Inputs and Drivers'!O39)</f>
        <v>163.80650800582816</v>
      </c>
      <c r="O135" s="107">
        <f>N135*(1+'Inputs and Drivers'!P39)</f>
        <v>172.8158659461487</v>
      </c>
      <c r="P135" s="107">
        <f>O135*(1+'Inputs and Drivers'!Q39)</f>
        <v>182.32073857318687</v>
      </c>
    </row>
    <row r="136" spans="2:16" x14ac:dyDescent="0.3">
      <c r="B136" s="93" t="s">
        <v>267</v>
      </c>
      <c r="F136" s="107"/>
      <c r="G136" s="367">
        <f>G135/F135-1</f>
        <v>0.14135855546001719</v>
      </c>
      <c r="H136" s="367">
        <f>H135/G135-1</f>
        <v>0.36469790568027727</v>
      </c>
      <c r="I136" s="367">
        <f>I135/H135-1</f>
        <v>-0.19346536019873051</v>
      </c>
      <c r="J136" s="367">
        <f t="shared" ref="J136:O136" si="99">J135/I135-1</f>
        <v>0.10000000000000009</v>
      </c>
      <c r="K136" s="367">
        <f t="shared" si="99"/>
        <v>8.4999999999999964E-2</v>
      </c>
      <c r="L136" s="367">
        <f t="shared" si="99"/>
        <v>5.4999999999999938E-2</v>
      </c>
      <c r="M136" s="367">
        <f t="shared" si="99"/>
        <v>5.4999999999999938E-2</v>
      </c>
      <c r="N136" s="367">
        <f t="shared" si="99"/>
        <v>5.4999999999999938E-2</v>
      </c>
      <c r="O136" s="367">
        <f t="shared" si="99"/>
        <v>5.4999999999999938E-2</v>
      </c>
      <c r="P136" s="367">
        <f>P135/O135-1</f>
        <v>5.4999999999999938E-2</v>
      </c>
    </row>
    <row r="137" spans="2:16" x14ac:dyDescent="0.3">
      <c r="B137" t="s">
        <v>273</v>
      </c>
      <c r="D137" s="18"/>
      <c r="F137" s="107">
        <f>'Spectris Raw Data '!D250*'Spectris Raw Data '!D$9</f>
        <v>348.9</v>
      </c>
      <c r="G137" s="107">
        <f>'Spectris Raw Data '!E250*'Spectris Raw Data '!E$9</f>
        <v>292.02800000000002</v>
      </c>
      <c r="H137" s="107">
        <f>'Spectris Raw Data '!F250*'Spectris Raw Data '!F$9</f>
        <v>347.80799999999999</v>
      </c>
      <c r="I137" s="107">
        <f>'Spectris Raw Data '!G250*'Spectris Raw Data '!G$9</f>
        <v>259.74</v>
      </c>
      <c r="J137" s="107">
        <f>I137*(1+'Inputs and Drivers'!K44)</f>
        <v>267.53219999999999</v>
      </c>
      <c r="K137" s="107">
        <f>J137*(1+'Inputs and Drivers'!L44)</f>
        <v>276.44994000000003</v>
      </c>
      <c r="L137" s="107">
        <f>K137*(1+'Inputs and Drivers'!M44)</f>
        <v>287.50793760000005</v>
      </c>
      <c r="M137" s="107">
        <f>L137*(1+'Inputs and Drivers'!N44)</f>
        <v>299.00825510400006</v>
      </c>
      <c r="N137" s="107">
        <f>M137*(1+'Inputs and Drivers'!O44)</f>
        <v>310.96858530816007</v>
      </c>
      <c r="O137" s="107">
        <f>N137*(1+'Inputs and Drivers'!P44)</f>
        <v>323.40732872048648</v>
      </c>
      <c r="P137" s="107">
        <f>O137*(1+'Inputs and Drivers'!Q44)</f>
        <v>336.34362186930593</v>
      </c>
    </row>
    <row r="138" spans="2:16" x14ac:dyDescent="0.3">
      <c r="B138" s="93" t="s">
        <v>267</v>
      </c>
      <c r="D138" s="18"/>
      <c r="F138" s="107"/>
      <c r="G138" s="367">
        <f>G137/F137-1</f>
        <v>-0.16300372599598723</v>
      </c>
      <c r="H138" s="367">
        <f>H137/G137-1</f>
        <v>0.19100908132096905</v>
      </c>
      <c r="I138" s="367">
        <f>I137/H137-1</f>
        <v>-0.25320866685067622</v>
      </c>
      <c r="J138" s="367">
        <f t="shared" ref="J138:O138" si="100">J137/I137-1</f>
        <v>3.0000000000000027E-2</v>
      </c>
      <c r="K138" s="367">
        <f t="shared" si="100"/>
        <v>3.3333333333333437E-2</v>
      </c>
      <c r="L138" s="367">
        <f t="shared" si="100"/>
        <v>4.0000000000000036E-2</v>
      </c>
      <c r="M138" s="367">
        <f t="shared" si="100"/>
        <v>4.0000000000000036E-2</v>
      </c>
      <c r="N138" s="367">
        <f t="shared" si="100"/>
        <v>4.0000000000000036E-2</v>
      </c>
      <c r="O138" s="367">
        <f t="shared" si="100"/>
        <v>4.0000000000000036E-2</v>
      </c>
      <c r="P138" s="367">
        <f>P137/O137-1</f>
        <v>4.0000000000000036E-2</v>
      </c>
    </row>
    <row r="139" spans="2:16" x14ac:dyDescent="0.3">
      <c r="B139" s="11" t="s">
        <v>274</v>
      </c>
      <c r="D139" s="18"/>
      <c r="F139" s="98">
        <f>SUM(F125:F137)</f>
        <v>1163</v>
      </c>
      <c r="G139" s="98">
        <f>SUM(G125:G137)</f>
        <v>1329.1245516521315</v>
      </c>
      <c r="H139" s="98">
        <f>SUM(H125:H137)</f>
        <v>1450.0321845733326</v>
      </c>
      <c r="I139" s="98">
        <f>SUM(I125:I137)</f>
        <v>1298.4552718741375</v>
      </c>
      <c r="J139" s="98">
        <f>SUM(J137,J135,J133,J131,J129,J127,J125)</f>
        <v>1310.90778</v>
      </c>
      <c r="K139" s="98">
        <f t="shared" ref="K139:P139" si="101">SUM(K137,K135,K133,K131,K129,K127,K125)</f>
        <v>1348.5566601</v>
      </c>
      <c r="L139" s="98">
        <f t="shared" si="101"/>
        <v>1409.5722231825002</v>
      </c>
      <c r="M139" s="98">
        <f t="shared" si="101"/>
        <v>1486.6602779883076</v>
      </c>
      <c r="N139" s="98">
        <f t="shared" si="101"/>
        <v>1568.0728212142653</v>
      </c>
      <c r="O139" s="98">
        <f t="shared" si="101"/>
        <v>1654.0578291582999</v>
      </c>
      <c r="P139" s="98">
        <f t="shared" si="101"/>
        <v>1744.8777682151951</v>
      </c>
    </row>
    <row r="140" spans="2:16" x14ac:dyDescent="0.3">
      <c r="D140" s="18"/>
    </row>
    <row r="141" spans="2:16" x14ac:dyDescent="0.3">
      <c r="B141" s="11" t="s">
        <v>275</v>
      </c>
      <c r="D141" s="18"/>
    </row>
    <row r="142" spans="2:16" x14ac:dyDescent="0.3">
      <c r="B142" t="s">
        <v>276</v>
      </c>
      <c r="F142" s="108">
        <f>83*C121</f>
        <v>63.08</v>
      </c>
      <c r="G142" s="108">
        <f>97*C121</f>
        <v>73.72</v>
      </c>
      <c r="H142" s="108">
        <f>117*C121</f>
        <v>88.92</v>
      </c>
      <c r="I142" s="108">
        <f>133*C121</f>
        <v>101.08</v>
      </c>
      <c r="J142" s="107">
        <f>I142*(1+'Inputs and Drivers'!K54)</f>
        <v>116.24199999999999</v>
      </c>
      <c r="K142" s="107">
        <f>J142*(1+'Inputs and Drivers'!L54)</f>
        <v>132.51587999999998</v>
      </c>
      <c r="L142" s="107">
        <f>K142*(1+'Inputs and Drivers'!M54)</f>
        <v>149.74294439999997</v>
      </c>
      <c r="M142" s="107">
        <f>L142*(1+'Inputs and Drivers'!N54)</f>
        <v>167.71209772799995</v>
      </c>
      <c r="N142" s="107">
        <f>M142*(1+'Inputs and Drivers'!O54)</f>
        <v>186.16042847807992</v>
      </c>
      <c r="O142" s="107">
        <f>N142*(1+'Inputs and Drivers'!P54)</f>
        <v>204.77647132588794</v>
      </c>
      <c r="P142" s="107">
        <f>O142*(1+'Inputs and Drivers'!Q54)</f>
        <v>223.20635374521788</v>
      </c>
    </row>
    <row r="143" spans="2:16" x14ac:dyDescent="0.3">
      <c r="B143" t="s">
        <v>277</v>
      </c>
      <c r="F143" s="144"/>
      <c r="G143" s="144"/>
      <c r="H143" s="144"/>
      <c r="I143" s="108">
        <v>55</v>
      </c>
      <c r="J143" s="107">
        <f>I143*(1+'Inputs and Drivers'!K59)</f>
        <v>63.249999999999993</v>
      </c>
      <c r="K143" s="107">
        <f>J143*(1+'Inputs and Drivers'!L59)</f>
        <v>72.10499999999999</v>
      </c>
      <c r="L143" s="107">
        <f>K143*(1+'Inputs and Drivers'!M59)</f>
        <v>81.478649999999988</v>
      </c>
      <c r="M143" s="107">
        <f>L143*(1+'Inputs and Drivers'!N59)</f>
        <v>91.256087999999977</v>
      </c>
      <c r="N143" s="107">
        <f>M143*(1+'Inputs and Drivers'!O59)</f>
        <v>101.29425767999996</v>
      </c>
      <c r="O143" s="107">
        <f>N143*(1+'Inputs and Drivers'!P59)</f>
        <v>111.42368344799996</v>
      </c>
      <c r="P143" s="107">
        <f>O143*(1+'Inputs and Drivers'!Q59)</f>
        <v>121.45181495831997</v>
      </c>
    </row>
    <row r="144" spans="2:16" x14ac:dyDescent="0.3">
      <c r="B144" s="11" t="s">
        <v>278</v>
      </c>
      <c r="F144" s="137"/>
      <c r="G144" s="137"/>
      <c r="H144" s="137"/>
      <c r="I144" s="137"/>
      <c r="J144" s="98">
        <f t="shared" ref="J144:P144" si="102">SUM(J142:J143)</f>
        <v>179.49199999999999</v>
      </c>
      <c r="K144" s="98">
        <f t="shared" si="102"/>
        <v>204.62087999999997</v>
      </c>
      <c r="L144" s="98">
        <f t="shared" si="102"/>
        <v>231.22159439999996</v>
      </c>
      <c r="M144" s="98">
        <f t="shared" si="102"/>
        <v>258.96818572799992</v>
      </c>
      <c r="N144" s="98">
        <f t="shared" si="102"/>
        <v>287.45468615807988</v>
      </c>
      <c r="O144" s="98">
        <f t="shared" si="102"/>
        <v>316.2001547738879</v>
      </c>
      <c r="P144" s="98">
        <f t="shared" si="102"/>
        <v>344.65816870353785</v>
      </c>
    </row>
    <row r="146" spans="1:16" x14ac:dyDescent="0.3">
      <c r="B146" s="11" t="s">
        <v>279</v>
      </c>
      <c r="F146" s="103">
        <f>SUM(F144,F139)</f>
        <v>1163</v>
      </c>
      <c r="G146" s="103">
        <f t="shared" ref="G146:P146" si="103">SUM(G144,G139)</f>
        <v>1329.1245516521315</v>
      </c>
      <c r="H146" s="103">
        <f t="shared" si="103"/>
        <v>1450.0321845733326</v>
      </c>
      <c r="I146" s="103">
        <f t="shared" si="103"/>
        <v>1298.4552718741375</v>
      </c>
      <c r="J146" s="103">
        <f t="shared" si="103"/>
        <v>1490.39978</v>
      </c>
      <c r="K146" s="103">
        <f t="shared" si="103"/>
        <v>1553.1775401</v>
      </c>
      <c r="L146" s="103">
        <f t="shared" si="103"/>
        <v>1640.7938175825002</v>
      </c>
      <c r="M146" s="103">
        <f t="shared" si="103"/>
        <v>1745.6284637163076</v>
      </c>
      <c r="N146" s="103">
        <f t="shared" si="103"/>
        <v>1855.5275073723451</v>
      </c>
      <c r="O146" s="103">
        <f t="shared" si="103"/>
        <v>1970.2579839321879</v>
      </c>
      <c r="P146" s="103">
        <f t="shared" si="103"/>
        <v>2089.5359369187331</v>
      </c>
    </row>
    <row r="148" spans="1:16" x14ac:dyDescent="0.3">
      <c r="B148" s="93" t="s">
        <v>280</v>
      </c>
      <c r="G148" s="145">
        <f>G146/F146-1</f>
        <v>0.14284140296829873</v>
      </c>
      <c r="H148" s="145">
        <f t="shared" ref="H148:O148" si="104">H146/G146-1</f>
        <v>9.0967872627821356E-2</v>
      </c>
      <c r="I148" s="145">
        <f t="shared" si="104"/>
        <v>-0.10453348160944176</v>
      </c>
      <c r="J148" s="145">
        <f t="shared" si="104"/>
        <v>0.14782527537418955</v>
      </c>
      <c r="K148" s="145">
        <f t="shared" si="104"/>
        <v>4.2121423353940646E-2</v>
      </c>
      <c r="L148" s="145">
        <f t="shared" si="104"/>
        <v>5.6410986651828088E-2</v>
      </c>
      <c r="M148" s="145">
        <f t="shared" si="104"/>
        <v>6.3892638435381066E-2</v>
      </c>
      <c r="N148" s="145">
        <f t="shared" si="104"/>
        <v>6.2956720711388359E-2</v>
      </c>
      <c r="O148" s="145">
        <f t="shared" si="104"/>
        <v>6.1831730386102013E-2</v>
      </c>
      <c r="P148" s="145">
        <f>P146/O146-1</f>
        <v>6.0539256259473984E-2</v>
      </c>
    </row>
    <row r="149" spans="1:16" x14ac:dyDescent="0.3">
      <c r="B149" s="93"/>
      <c r="G149" s="145"/>
      <c r="H149" s="145"/>
      <c r="I149" s="145"/>
      <c r="J149" s="145"/>
      <c r="K149" s="145"/>
      <c r="L149" s="145"/>
      <c r="M149" s="145"/>
      <c r="N149" s="145"/>
      <c r="O149" s="145"/>
      <c r="P149" s="145"/>
    </row>
    <row r="150" spans="1:16" x14ac:dyDescent="0.3">
      <c r="B150" s="93"/>
      <c r="G150" s="145"/>
      <c r="H150" s="145"/>
      <c r="I150" s="145"/>
      <c r="J150" s="145"/>
      <c r="K150" s="145"/>
      <c r="L150" s="145"/>
      <c r="M150" s="145"/>
      <c r="N150" s="145"/>
      <c r="O150" s="145"/>
      <c r="P150" s="145"/>
    </row>
    <row r="151" spans="1:16" s="8" customFormat="1" ht="21" x14ac:dyDescent="0.4">
      <c r="A151" t="s">
        <v>3</v>
      </c>
      <c r="B151" s="9" t="s">
        <v>281</v>
      </c>
    </row>
    <row r="152" spans="1:16" x14ac:dyDescent="0.3">
      <c r="B152" s="93"/>
      <c r="G152" s="145"/>
      <c r="H152" s="145"/>
      <c r="I152" s="145"/>
      <c r="J152" s="145"/>
      <c r="K152" s="145"/>
      <c r="L152" s="145"/>
      <c r="M152" s="145"/>
      <c r="N152" s="145"/>
      <c r="O152" s="145"/>
      <c r="P152" s="145"/>
    </row>
    <row r="153" spans="1:16" ht="15" thickBot="1" x14ac:dyDescent="0.35">
      <c r="B153" s="11"/>
      <c r="F153" s="83">
        <v>2021</v>
      </c>
      <c r="G153" s="83">
        <v>2022</v>
      </c>
      <c r="H153" s="83">
        <v>2023</v>
      </c>
      <c r="I153" s="83">
        <v>2024</v>
      </c>
      <c r="J153" s="80">
        <v>2025</v>
      </c>
      <c r="K153" s="80">
        <v>2026</v>
      </c>
      <c r="L153" s="80">
        <v>2027</v>
      </c>
      <c r="M153" s="80">
        <v>2028</v>
      </c>
      <c r="N153" s="80">
        <v>2029</v>
      </c>
      <c r="O153" s="80">
        <v>2030</v>
      </c>
      <c r="P153" s="80">
        <v>2031</v>
      </c>
    </row>
    <row r="154" spans="1:16" x14ac:dyDescent="0.3">
      <c r="A154" s="93"/>
      <c r="B154" s="93"/>
      <c r="K154" s="145"/>
      <c r="L154" s="145"/>
      <c r="M154" s="145"/>
      <c r="N154" s="145"/>
      <c r="O154" s="145"/>
      <c r="P154" s="145"/>
    </row>
    <row r="155" spans="1:16" x14ac:dyDescent="0.3">
      <c r="B155" t="s">
        <v>163</v>
      </c>
      <c r="F155" s="166"/>
      <c r="G155" s="166"/>
      <c r="H155" s="166"/>
      <c r="I155" s="166"/>
      <c r="J155" s="146">
        <f>'Inputs and Drivers'!K68</f>
        <v>0.44464838464838463</v>
      </c>
      <c r="K155" s="146">
        <f>'Inputs and Drivers'!L68</f>
        <v>0.44054032054032055</v>
      </c>
      <c r="L155" s="146">
        <f>'Inputs and Drivers'!M68</f>
        <v>0.43643225643225647</v>
      </c>
      <c r="M155" s="146">
        <f>'Inputs and Drivers'!N68</f>
        <v>0.43232419232419239</v>
      </c>
      <c r="N155" s="146">
        <f>'Inputs and Drivers'!O68</f>
        <v>0.42821612821612831</v>
      </c>
      <c r="O155" s="146">
        <f>'Inputs and Drivers'!P68</f>
        <v>0.42410806410806423</v>
      </c>
      <c r="P155" s="146">
        <f>'Inputs and Drivers'!Q68</f>
        <v>0.42</v>
      </c>
    </row>
    <row r="156" spans="1:16" x14ac:dyDescent="0.3">
      <c r="B156" s="11" t="s">
        <v>282</v>
      </c>
      <c r="F156" s="168"/>
      <c r="G156" s="168"/>
      <c r="H156" s="168"/>
      <c r="I156" s="168"/>
      <c r="J156" s="98">
        <f>-J155*J146</f>
        <v>-662.70385465730783</v>
      </c>
      <c r="K156" s="98">
        <f t="shared" ref="K156:P156" si="105">-K155*K146</f>
        <v>-684.23733137168063</v>
      </c>
      <c r="L156" s="98">
        <f t="shared" si="105"/>
        <v>-716.09534814762674</v>
      </c>
      <c r="M156" s="98">
        <f t="shared" si="105"/>
        <v>-754.67741567427345</v>
      </c>
      <c r="N156" s="98">
        <f t="shared" si="105"/>
        <v>-794.56680500550908</v>
      </c>
      <c r="O156" s="98">
        <f t="shared" si="105"/>
        <v>-835.60229935893778</v>
      </c>
      <c r="P156" s="98">
        <f t="shared" si="105"/>
        <v>-877.6050935058679</v>
      </c>
    </row>
    <row r="157" spans="1:16" x14ac:dyDescent="0.3">
      <c r="F157" s="166"/>
      <c r="G157" s="167"/>
      <c r="H157" s="167"/>
      <c r="I157" s="167"/>
      <c r="J157" s="18"/>
      <c r="K157" s="18"/>
      <c r="L157" s="18"/>
      <c r="M157" s="18"/>
      <c r="N157" s="18"/>
      <c r="O157" s="18"/>
      <c r="P157" s="18"/>
    </row>
    <row r="158" spans="1:16" x14ac:dyDescent="0.3">
      <c r="B158" t="s">
        <v>283</v>
      </c>
      <c r="F158" s="166"/>
      <c r="G158" s="167"/>
      <c r="H158" s="167"/>
      <c r="I158" s="167"/>
      <c r="J158" s="146">
        <f>'Inputs and Drivers'!$K$73</f>
        <v>0.32340032340032332</v>
      </c>
      <c r="K158" s="146">
        <f>'Inputs and Drivers'!$K$73</f>
        <v>0.32340032340032332</v>
      </c>
      <c r="L158" s="146">
        <f>'Inputs and Drivers'!$K$73</f>
        <v>0.32340032340032332</v>
      </c>
      <c r="M158" s="146">
        <f>'Inputs and Drivers'!$K$73</f>
        <v>0.32340032340032332</v>
      </c>
      <c r="N158" s="146">
        <f>'Inputs and Drivers'!$K$73</f>
        <v>0.32340032340032332</v>
      </c>
      <c r="O158" s="146">
        <f>'Inputs and Drivers'!$K$73</f>
        <v>0.32340032340032332</v>
      </c>
      <c r="P158" s="146">
        <f>'Inputs and Drivers'!$K$73</f>
        <v>0.32340032340032332</v>
      </c>
    </row>
    <row r="159" spans="1:16" x14ac:dyDescent="0.3">
      <c r="B159" s="11" t="s">
        <v>284</v>
      </c>
      <c r="F159" s="168"/>
      <c r="G159" s="169"/>
      <c r="H159" s="169"/>
      <c r="I159" s="169"/>
      <c r="J159" s="98">
        <f>-J158*J146</f>
        <v>-481.9957708477707</v>
      </c>
      <c r="K159" s="98">
        <f t="shared" ref="K159:P159" si="106">-K158*K146</f>
        <v>-502.29811876645863</v>
      </c>
      <c r="L159" s="98">
        <f t="shared" si="106"/>
        <v>-530.63325123943162</v>
      </c>
      <c r="M159" s="98">
        <f t="shared" si="106"/>
        <v>-564.53680970266339</v>
      </c>
      <c r="N159" s="98">
        <f t="shared" si="106"/>
        <v>-600.07819596241222</v>
      </c>
      <c r="O159" s="98">
        <f t="shared" si="106"/>
        <v>-637.18206918573856</v>
      </c>
      <c r="P159" s="98">
        <f t="shared" si="106"/>
        <v>-675.75659775611587</v>
      </c>
    </row>
    <row r="160" spans="1:16" x14ac:dyDescent="0.3">
      <c r="B160" s="11"/>
      <c r="F160" s="166"/>
      <c r="G160" s="167"/>
      <c r="H160" s="167"/>
      <c r="I160" s="167"/>
      <c r="J160" s="146"/>
      <c r="K160" s="146"/>
      <c r="L160" s="146"/>
      <c r="M160" s="146"/>
      <c r="N160" s="146"/>
      <c r="O160" s="146"/>
      <c r="P160" s="146"/>
    </row>
    <row r="161" spans="1:18" x14ac:dyDescent="0.3">
      <c r="B161" t="s">
        <v>285</v>
      </c>
      <c r="F161" s="166"/>
      <c r="G161" s="167"/>
      <c r="H161" s="167"/>
      <c r="I161" s="167"/>
      <c r="J161" s="150">
        <f>'Inputs and Drivers'!K87</f>
        <v>2.35</v>
      </c>
      <c r="K161" s="150">
        <f>'Inputs and Drivers'!L87</f>
        <v>4.7</v>
      </c>
      <c r="L161" s="150">
        <f>'Inputs and Drivers'!M87</f>
        <v>4.7</v>
      </c>
      <c r="M161" s="150">
        <f>'Inputs and Drivers'!N87</f>
        <v>4.7</v>
      </c>
      <c r="N161" s="150">
        <f>'Inputs and Drivers'!O87</f>
        <v>4.7</v>
      </c>
      <c r="O161" s="150">
        <f>'Inputs and Drivers'!P87</f>
        <v>4.7</v>
      </c>
      <c r="P161" s="150">
        <f>'Inputs and Drivers'!Q87</f>
        <v>4.7</v>
      </c>
    </row>
    <row r="162" spans="1:18" x14ac:dyDescent="0.3">
      <c r="B162" t="s">
        <v>286</v>
      </c>
      <c r="F162" s="166"/>
      <c r="G162" s="167"/>
      <c r="H162" s="167"/>
      <c r="I162" s="167"/>
      <c r="J162" s="150">
        <f>'Inputs and Drivers'!K92</f>
        <v>4.5999999999999996</v>
      </c>
      <c r="K162" s="150">
        <f>'Inputs and Drivers'!L92</f>
        <v>9.1999999999999993</v>
      </c>
      <c r="L162" s="150">
        <f>'Inputs and Drivers'!M92</f>
        <v>9.1999999999999993</v>
      </c>
      <c r="M162" s="150">
        <f>'Inputs and Drivers'!N92</f>
        <v>9.1999999999999993</v>
      </c>
      <c r="N162" s="150">
        <f>'Inputs and Drivers'!O92</f>
        <v>9.1999999999999993</v>
      </c>
      <c r="O162" s="150">
        <f>'Inputs and Drivers'!P92</f>
        <v>9.1999999999999993</v>
      </c>
      <c r="P162" s="150">
        <f>'Inputs and Drivers'!Q92</f>
        <v>9.1999999999999993</v>
      </c>
    </row>
    <row r="163" spans="1:18" x14ac:dyDescent="0.3">
      <c r="B163" s="11" t="s">
        <v>287</v>
      </c>
      <c r="F163" s="168"/>
      <c r="G163" s="169"/>
      <c r="H163" s="169"/>
      <c r="I163" s="169"/>
      <c r="J163" s="151">
        <f>SUM(J161:J162)</f>
        <v>6.9499999999999993</v>
      </c>
      <c r="K163" s="151">
        <f t="shared" ref="K163:P163" si="107">SUM(K161:K162)</f>
        <v>13.899999999999999</v>
      </c>
      <c r="L163" s="151">
        <f t="shared" si="107"/>
        <v>13.899999999999999</v>
      </c>
      <c r="M163" s="151">
        <f t="shared" si="107"/>
        <v>13.899999999999999</v>
      </c>
      <c r="N163" s="151">
        <f t="shared" si="107"/>
        <v>13.899999999999999</v>
      </c>
      <c r="O163" s="151">
        <f t="shared" si="107"/>
        <v>13.899999999999999</v>
      </c>
      <c r="P163" s="151">
        <f t="shared" si="107"/>
        <v>13.899999999999999</v>
      </c>
    </row>
    <row r="164" spans="1:18" x14ac:dyDescent="0.3">
      <c r="B164" s="11"/>
      <c r="F164" s="166"/>
      <c r="G164" s="167"/>
      <c r="H164" s="167"/>
      <c r="I164" s="167"/>
      <c r="J164" s="149"/>
      <c r="K164" s="149"/>
      <c r="L164" s="149"/>
      <c r="M164" s="149"/>
      <c r="N164" s="149"/>
      <c r="O164" s="149"/>
      <c r="P164" s="149"/>
    </row>
    <row r="165" spans="1:18" x14ac:dyDescent="0.3">
      <c r="B165" s="11" t="s">
        <v>288</v>
      </c>
      <c r="F165" s="170"/>
      <c r="G165" s="171"/>
      <c r="H165" s="171"/>
      <c r="I165" s="171"/>
      <c r="J165" s="103">
        <f>SUM(J163,J159)</f>
        <v>-475.04577084777071</v>
      </c>
      <c r="K165" s="103">
        <f t="shared" ref="K165:P165" si="108">SUM(K163,K159)</f>
        <v>-488.39811876645865</v>
      </c>
      <c r="L165" s="103">
        <f t="shared" si="108"/>
        <v>-516.73325123943164</v>
      </c>
      <c r="M165" s="103">
        <f t="shared" si="108"/>
        <v>-550.63680970266341</v>
      </c>
      <c r="N165" s="103">
        <f t="shared" si="108"/>
        <v>-586.17819596241225</v>
      </c>
      <c r="O165" s="103">
        <f t="shared" si="108"/>
        <v>-623.28206918573858</v>
      </c>
      <c r="P165" s="103">
        <f t="shared" si="108"/>
        <v>-661.85659775611589</v>
      </c>
    </row>
    <row r="166" spans="1:18" x14ac:dyDescent="0.3">
      <c r="F166" s="166"/>
      <c r="G166" s="167"/>
      <c r="H166" s="167"/>
      <c r="I166" s="167"/>
      <c r="J166" s="18"/>
      <c r="K166" s="18"/>
      <c r="L166" s="18"/>
      <c r="M166" s="18"/>
      <c r="N166" s="18"/>
      <c r="O166" s="18"/>
      <c r="P166" s="18"/>
    </row>
    <row r="167" spans="1:18" x14ac:dyDescent="0.3">
      <c r="B167" t="s">
        <v>289</v>
      </c>
      <c r="F167" s="166"/>
      <c r="G167" s="167"/>
      <c r="H167" s="167"/>
      <c r="I167" s="167"/>
      <c r="J167" s="146">
        <f>'Inputs and Drivers'!K78</f>
        <v>8.6471086471086464E-2</v>
      </c>
      <c r="K167" s="146">
        <f>'Inputs and Drivers'!L78</f>
        <v>8.4559238725905386E-2</v>
      </c>
      <c r="L167" s="146">
        <f>'Inputs and Drivers'!M78</f>
        <v>8.2647390980724308E-2</v>
      </c>
      <c r="M167" s="146">
        <f>'Inputs and Drivers'!N78</f>
        <v>8.0735543235543231E-2</v>
      </c>
      <c r="N167" s="146">
        <f>'Inputs and Drivers'!O78</f>
        <v>7.8823695490362153E-2</v>
      </c>
      <c r="O167" s="146">
        <f>'Inputs and Drivers'!P78</f>
        <v>7.6911847745181075E-2</v>
      </c>
      <c r="P167" s="146">
        <f>'Inputs and Drivers'!Q78</f>
        <v>7.4999999999999997E-2</v>
      </c>
    </row>
    <row r="168" spans="1:18" x14ac:dyDescent="0.3">
      <c r="B168" s="11" t="s">
        <v>290</v>
      </c>
      <c r="F168" s="168"/>
      <c r="G168" s="169"/>
      <c r="H168" s="169"/>
      <c r="I168" s="169"/>
      <c r="J168" s="98">
        <f>-J167*J146</f>
        <v>-128.87648825286823</v>
      </c>
      <c r="K168" s="98">
        <f t="shared" ref="K168:P168" si="109">-K167*K146</f>
        <v>-131.33551039703039</v>
      </c>
      <c r="L168" s="98">
        <f t="shared" si="109"/>
        <v>-135.60732816049614</v>
      </c>
      <c r="M168" s="98">
        <f t="shared" si="109"/>
        <v>-140.93426230556287</v>
      </c>
      <c r="N168" s="98">
        <f t="shared" si="109"/>
        <v>-146.25953521510846</v>
      </c>
      <c r="O168" s="98">
        <f t="shared" si="109"/>
        <v>-151.53618207891986</v>
      </c>
      <c r="P168" s="98">
        <f t="shared" si="109"/>
        <v>-156.71519526890498</v>
      </c>
    </row>
    <row r="169" spans="1:18" x14ac:dyDescent="0.3">
      <c r="B169" s="11"/>
      <c r="F169" s="166"/>
      <c r="G169" s="167"/>
      <c r="H169" s="167"/>
      <c r="I169" s="167"/>
      <c r="J169" s="149"/>
      <c r="K169" s="149"/>
      <c r="L169" s="149"/>
      <c r="M169" s="149"/>
      <c r="N169" s="149"/>
      <c r="O169" s="149"/>
      <c r="P169" s="149"/>
    </row>
    <row r="170" spans="1:18" x14ac:dyDescent="0.3">
      <c r="B170" t="s">
        <v>291</v>
      </c>
      <c r="F170" s="166"/>
      <c r="G170" s="167"/>
      <c r="H170" s="167"/>
      <c r="I170" s="167"/>
      <c r="J170" s="146">
        <f>'Inputs and Drivers'!$D$95</f>
        <v>0.23499999999999999</v>
      </c>
      <c r="K170" s="146">
        <f>'Inputs and Drivers'!$D$95</f>
        <v>0.23499999999999999</v>
      </c>
      <c r="L170" s="146">
        <f>'Inputs and Drivers'!$D$95</f>
        <v>0.23499999999999999</v>
      </c>
      <c r="M170" s="146">
        <f>'Inputs and Drivers'!$D$95</f>
        <v>0.23499999999999999</v>
      </c>
      <c r="N170" s="146">
        <f>'Inputs and Drivers'!$D$95</f>
        <v>0.23499999999999999</v>
      </c>
      <c r="O170" s="146">
        <f>'Inputs and Drivers'!$D$95</f>
        <v>0.23499999999999999</v>
      </c>
      <c r="P170" s="146">
        <f>'Inputs and Drivers'!$D$95</f>
        <v>0.23499999999999999</v>
      </c>
    </row>
    <row r="171" spans="1:18" x14ac:dyDescent="0.3">
      <c r="B171" s="11" t="s">
        <v>206</v>
      </c>
      <c r="F171" s="168"/>
      <c r="G171" s="169"/>
      <c r="H171" s="169"/>
      <c r="I171" s="169"/>
      <c r="J171" s="98">
        <f t="shared" ref="J171:O171" ca="1" si="110">-J170*J28</f>
        <v>-30.827236865811759</v>
      </c>
      <c r="K171" s="98">
        <f t="shared" ca="1" si="110"/>
        <v>-24.308449455363078</v>
      </c>
      <c r="L171" s="98">
        <f t="shared" ca="1" si="110"/>
        <v>-24.395239796041174</v>
      </c>
      <c r="M171" s="98">
        <f t="shared" ca="1" si="110"/>
        <v>-30.266156080881103</v>
      </c>
      <c r="N171" s="98">
        <f t="shared" ca="1" si="110"/>
        <v>-37.029510567658214</v>
      </c>
      <c r="O171" s="98">
        <f t="shared" ca="1" si="110"/>
        <v>-45.543150576284212</v>
      </c>
      <c r="P171" s="98">
        <f ca="1">-P170*P28</f>
        <v>-54.193956556259629</v>
      </c>
    </row>
    <row r="172" spans="1:18" x14ac:dyDescent="0.3">
      <c r="G172" s="18"/>
      <c r="H172" s="18"/>
      <c r="I172" s="18"/>
      <c r="J172" s="149"/>
      <c r="K172" s="149"/>
      <c r="L172" s="149"/>
      <c r="M172" s="149"/>
      <c r="N172" s="149"/>
      <c r="O172" s="149"/>
      <c r="P172" s="149"/>
    </row>
    <row r="173" spans="1:18" x14ac:dyDescent="0.3">
      <c r="G173" s="18"/>
      <c r="H173" s="18"/>
      <c r="I173" s="18"/>
      <c r="J173" s="18"/>
      <c r="K173" s="18"/>
      <c r="L173" s="18"/>
      <c r="M173" s="18"/>
      <c r="N173" s="18"/>
      <c r="O173" s="18"/>
      <c r="P173" s="18"/>
    </row>
    <row r="174" spans="1:18" s="8" customFormat="1" ht="21" x14ac:dyDescent="0.4">
      <c r="A174" t="s">
        <v>3</v>
      </c>
      <c r="B174" s="9" t="s">
        <v>292</v>
      </c>
    </row>
    <row r="176" spans="1:18" ht="15" thickBot="1" x14ac:dyDescent="0.35">
      <c r="B176" s="11" t="s">
        <v>293</v>
      </c>
      <c r="F176" s="83">
        <v>2021</v>
      </c>
      <c r="G176" s="83">
        <v>2022</v>
      </c>
      <c r="H176" s="83">
        <v>2023</v>
      </c>
      <c r="I176" s="83">
        <v>2024</v>
      </c>
      <c r="J176" s="80">
        <v>2025</v>
      </c>
      <c r="K176" s="80">
        <v>2026</v>
      </c>
      <c r="L176" s="80">
        <v>2027</v>
      </c>
      <c r="M176" s="80">
        <v>2028</v>
      </c>
      <c r="N176" s="80">
        <v>2029</v>
      </c>
      <c r="O176" s="80">
        <v>2030</v>
      </c>
      <c r="P176" s="80">
        <v>2031</v>
      </c>
      <c r="Q176" s="238">
        <v>2026</v>
      </c>
      <c r="R176" s="238">
        <v>2026</v>
      </c>
    </row>
    <row r="178" spans="1:18" x14ac:dyDescent="0.3">
      <c r="B178" t="s">
        <v>67</v>
      </c>
      <c r="F178" s="97">
        <f t="shared" ref="F178:R178" si="111">F13</f>
        <v>1163</v>
      </c>
      <c r="G178" s="97">
        <f t="shared" si="111"/>
        <v>1327.4</v>
      </c>
      <c r="H178" s="97">
        <f t="shared" si="111"/>
        <v>1449.2</v>
      </c>
      <c r="I178" s="97">
        <f t="shared" si="111"/>
        <v>1298.7</v>
      </c>
      <c r="J178" s="97">
        <f t="shared" si="111"/>
        <v>1490.39978</v>
      </c>
      <c r="K178" s="97">
        <f t="shared" si="111"/>
        <v>1553.1775401</v>
      </c>
      <c r="L178" s="97">
        <f t="shared" si="111"/>
        <v>1640.7938175825002</v>
      </c>
      <c r="M178" s="97">
        <f t="shared" si="111"/>
        <v>1745.6284637163076</v>
      </c>
      <c r="N178" s="97">
        <f t="shared" si="111"/>
        <v>1855.5275073723451</v>
      </c>
      <c r="O178" s="97">
        <f t="shared" si="111"/>
        <v>1970.2579839321879</v>
      </c>
      <c r="P178" s="97">
        <f>P13</f>
        <v>2089.5359369187331</v>
      </c>
      <c r="Q178" s="249">
        <f t="shared" si="111"/>
        <v>388.294385025</v>
      </c>
      <c r="R178" s="97">
        <f t="shared" si="111"/>
        <v>1164.8831550750001</v>
      </c>
    </row>
    <row r="179" spans="1:18" x14ac:dyDescent="0.3">
      <c r="B179" t="s">
        <v>294</v>
      </c>
      <c r="F179" s="97">
        <f t="shared" ref="F179:R179" si="112">F14</f>
        <v>-487.5</v>
      </c>
      <c r="G179" s="97">
        <f t="shared" si="112"/>
        <v>-576.6</v>
      </c>
      <c r="H179" s="97">
        <f t="shared" si="112"/>
        <v>-611.1</v>
      </c>
      <c r="I179" s="97">
        <f t="shared" si="112"/>
        <v>-582.79999999999995</v>
      </c>
      <c r="J179" s="97">
        <f t="shared" si="112"/>
        <v>-662.70385465730783</v>
      </c>
      <c r="K179" s="97">
        <f t="shared" si="112"/>
        <v>-684.23733137168063</v>
      </c>
      <c r="L179" s="97">
        <f t="shared" si="112"/>
        <v>-716.09534814762674</v>
      </c>
      <c r="M179" s="97">
        <f t="shared" si="112"/>
        <v>-754.67741567427345</v>
      </c>
      <c r="N179" s="97">
        <f t="shared" si="112"/>
        <v>-794.56680500550908</v>
      </c>
      <c r="O179" s="97">
        <f t="shared" si="112"/>
        <v>-835.60229935893778</v>
      </c>
      <c r="P179" s="97">
        <f>P14</f>
        <v>-877.6050935058679</v>
      </c>
      <c r="Q179" s="249">
        <f t="shared" si="112"/>
        <v>-171.05933284292016</v>
      </c>
      <c r="R179" s="97">
        <f t="shared" si="112"/>
        <v>-513.17799852876044</v>
      </c>
    </row>
    <row r="180" spans="1:18" x14ac:dyDescent="0.3">
      <c r="F180" s="107"/>
      <c r="G180" s="107"/>
      <c r="H180" s="107"/>
      <c r="I180" s="107"/>
      <c r="Q180" s="248"/>
    </row>
    <row r="181" spans="1:18" x14ac:dyDescent="0.3">
      <c r="B181" t="s">
        <v>210</v>
      </c>
      <c r="F181" s="108">
        <v>240.4</v>
      </c>
      <c r="G181" s="108">
        <v>283.3</v>
      </c>
      <c r="H181" s="108">
        <v>239.5</v>
      </c>
      <c r="I181" s="108">
        <v>285.7</v>
      </c>
      <c r="J181" s="107">
        <f>J178/365*'Inputs and Drivers'!K103</f>
        <v>293.88</v>
      </c>
      <c r="K181" s="107">
        <f>K178/K199*'Inputs and Drivers'!L103</f>
        <v>300.3156859872048</v>
      </c>
      <c r="L181" s="107">
        <f>L178/365*'Inputs and Drivers'!M103</f>
        <v>319.87891494383791</v>
      </c>
      <c r="M181" s="107">
        <f>M178/365*'Inputs and Drivers'!N103</f>
        <v>343.10648207449623</v>
      </c>
      <c r="N181" s="107">
        <f>N178/365*'Inputs and Drivers'!O103</f>
        <v>367.67262811563603</v>
      </c>
      <c r="O181" s="107">
        <f>O178/365*'Inputs and Drivers'!P103</f>
        <v>393.55509883347366</v>
      </c>
      <c r="P181" s="107">
        <f>P178/365*'Inputs and Drivers'!Q103</f>
        <v>420.71988379578943</v>
      </c>
      <c r="Q181" s="249">
        <f>$K181</f>
        <v>300.3156859872048</v>
      </c>
      <c r="R181" s="133">
        <f t="shared" ref="R181:R182" si="113">$K181</f>
        <v>300.3156859872048</v>
      </c>
    </row>
    <row r="182" spans="1:18" x14ac:dyDescent="0.3">
      <c r="B182" t="s">
        <v>295</v>
      </c>
      <c r="F182" s="108">
        <v>75.499999999999972</v>
      </c>
      <c r="G182" s="108">
        <v>79.199999999999989</v>
      </c>
      <c r="H182" s="108">
        <v>78.399999999999977</v>
      </c>
      <c r="I182" s="108">
        <v>61.300000000000011</v>
      </c>
      <c r="J182" s="107">
        <f>-J179*'Inputs and Drivers'!K105</f>
        <v>77.869818952806995</v>
      </c>
      <c r="K182" s="107">
        <f>-K179*'Inputs and Drivers'!L105</f>
        <v>79.316342481820158</v>
      </c>
      <c r="L182" s="107">
        <f>-L179*'Inputs and Drivers'!M105</f>
        <v>85.230145915589432</v>
      </c>
      <c r="M182" s="107">
        <f>-M179*'Inputs and Drivers'!N105</f>
        <v>92.16270781356306</v>
      </c>
      <c r="N182" s="107">
        <f>-N179*'Inputs and Drivers'!O105</f>
        <v>99.498287792431512</v>
      </c>
      <c r="O182" s="107">
        <f>-O179*'Inputs and Drivers'!P105</f>
        <v>107.22836104911921</v>
      </c>
      <c r="P182" s="107">
        <f>-P179*'Inputs and Drivers'!Q105</f>
        <v>115.3400912608096</v>
      </c>
      <c r="Q182" s="251">
        <f t="shared" ref="Q182" si="114">$K182</f>
        <v>79.316342481820158</v>
      </c>
      <c r="R182" s="133">
        <f t="shared" si="113"/>
        <v>79.316342481820158</v>
      </c>
    </row>
    <row r="183" spans="1:18" s="11" customFormat="1" x14ac:dyDescent="0.3">
      <c r="A183"/>
      <c r="B183" s="11" t="s">
        <v>296</v>
      </c>
      <c r="C183"/>
      <c r="D183"/>
      <c r="E183"/>
      <c r="F183" s="98">
        <f>SUM(F181:F182)</f>
        <v>315.89999999999998</v>
      </c>
      <c r="G183" s="98">
        <f t="shared" ref="G183:J183" si="115">SUM(G181:G182)</f>
        <v>362.5</v>
      </c>
      <c r="H183" s="98">
        <f t="shared" si="115"/>
        <v>317.89999999999998</v>
      </c>
      <c r="I183" s="98">
        <f t="shared" si="115"/>
        <v>347</v>
      </c>
      <c r="J183" s="98">
        <f t="shared" si="115"/>
        <v>371.749818952807</v>
      </c>
      <c r="K183" s="98">
        <f t="shared" ref="K183" si="116">SUM(K181:K182)</f>
        <v>379.63202846902493</v>
      </c>
      <c r="L183" s="98">
        <f t="shared" ref="L183" si="117">SUM(L181:L182)</f>
        <v>405.10906085942736</v>
      </c>
      <c r="M183" s="98">
        <f t="shared" ref="M183" si="118">SUM(M181:M182)</f>
        <v>435.26918988805926</v>
      </c>
      <c r="N183" s="98">
        <f t="shared" ref="N183" si="119">SUM(N181:N182)</f>
        <v>467.17091590806751</v>
      </c>
      <c r="O183" s="98">
        <f t="shared" ref="O183" si="120">SUM(O181:O182)</f>
        <v>500.78345988259287</v>
      </c>
      <c r="P183" s="98">
        <f t="shared" ref="P183:R183" si="121">SUM(P181:P182)</f>
        <v>536.059975056599</v>
      </c>
      <c r="Q183" s="252">
        <f t="shared" si="121"/>
        <v>379.63202846902493</v>
      </c>
      <c r="R183" s="98">
        <f t="shared" si="121"/>
        <v>379.63202846902493</v>
      </c>
    </row>
    <row r="184" spans="1:18" x14ac:dyDescent="0.3">
      <c r="F184" s="97"/>
      <c r="G184" s="97"/>
      <c r="H184" s="97"/>
      <c r="I184" s="97"/>
      <c r="Q184" s="248"/>
    </row>
    <row r="185" spans="1:18" x14ac:dyDescent="0.3">
      <c r="B185" t="s">
        <v>221</v>
      </c>
      <c r="F185" s="108">
        <v>59.7</v>
      </c>
      <c r="G185" s="108">
        <v>62.8</v>
      </c>
      <c r="H185" s="108">
        <v>42.8</v>
      </c>
      <c r="I185" s="108">
        <v>50.1</v>
      </c>
      <c r="J185" s="107">
        <f>J179/365*-'Inputs and Drivers'!K102</f>
        <v>56.219377738585742</v>
      </c>
      <c r="K185" s="107">
        <f>K179/365*-'Inputs and Drivers'!L102</f>
        <v>55.014530781563259</v>
      </c>
      <c r="L185" s="107">
        <f>L179/365*-'Inputs and Drivers'!M102</f>
        <v>59.930773573222339</v>
      </c>
      <c r="M185" s="107">
        <f>M179/365*-'Inputs and Drivers'!N102</f>
        <v>65.641390902307236</v>
      </c>
      <c r="N185" s="107">
        <f>N179/365*-'Inputs and Drivers'!O102</f>
        <v>71.723759916320162</v>
      </c>
      <c r="O185" s="107">
        <f>O179/365*-'Inputs and Drivers'!P102</f>
        <v>78.175694596365531</v>
      </c>
      <c r="P185" s="107">
        <f>P179/365*-'Inputs and Drivers'!Q102</f>
        <v>84.991185031265758</v>
      </c>
      <c r="Q185" s="249">
        <f t="shared" ref="Q185:R186" si="122">$K185</f>
        <v>55.014530781563259</v>
      </c>
      <c r="R185" s="133">
        <f t="shared" si="122"/>
        <v>55.014530781563259</v>
      </c>
    </row>
    <row r="186" spans="1:18" x14ac:dyDescent="0.3">
      <c r="B186" t="s">
        <v>297</v>
      </c>
      <c r="F186" s="108">
        <v>270.5</v>
      </c>
      <c r="G186" s="108">
        <v>310.89999999999998</v>
      </c>
      <c r="H186" s="108">
        <v>326.59999999999997</v>
      </c>
      <c r="I186" s="108">
        <v>280.7</v>
      </c>
      <c r="J186" s="107">
        <f>J179*-'Inputs and Drivers'!K104</f>
        <v>318.57647385198561</v>
      </c>
      <c r="K186" s="107">
        <f>K179*-'Inputs and Drivers'!L104</f>
        <v>311.74900776219164</v>
      </c>
      <c r="L186" s="107">
        <f>L179*-'Inputs and Drivers'!M104</f>
        <v>336.5647623162406</v>
      </c>
      <c r="M186" s="107">
        <f>M179*-'Inputs and Drivers'!N104</f>
        <v>365.55407356693581</v>
      </c>
      <c r="N186" s="107">
        <f>N179*-'Inputs and Drivers'!O104</f>
        <v>396.30541279849768</v>
      </c>
      <c r="O186" s="107">
        <f>O179*-'Inputs and Drivers'!P104</f>
        <v>428.7924669650522</v>
      </c>
      <c r="P186" s="107">
        <f>P179*-'Inputs and Drivers'!Q104</f>
        <v>462.97036827642955</v>
      </c>
      <c r="Q186" s="251">
        <f t="shared" si="122"/>
        <v>311.74900776219164</v>
      </c>
      <c r="R186" s="133">
        <f t="shared" si="122"/>
        <v>311.74900776219164</v>
      </c>
    </row>
    <row r="187" spans="1:18" x14ac:dyDescent="0.3">
      <c r="B187" s="11" t="s">
        <v>298</v>
      </c>
      <c r="F187" s="98">
        <f>SUM(F185:F186)</f>
        <v>330.2</v>
      </c>
      <c r="G187" s="98">
        <f t="shared" ref="G187:J187" si="123">SUM(G185:G186)</f>
        <v>373.7</v>
      </c>
      <c r="H187" s="98">
        <f t="shared" si="123"/>
        <v>369.4</v>
      </c>
      <c r="I187" s="98">
        <f t="shared" si="123"/>
        <v>330.8</v>
      </c>
      <c r="J187" s="98">
        <f t="shared" si="123"/>
        <v>374.79585159057137</v>
      </c>
      <c r="K187" s="98">
        <f t="shared" ref="K187" si="124">SUM(K185:K186)</f>
        <v>366.76353854375492</v>
      </c>
      <c r="L187" s="98">
        <f t="shared" ref="L187" si="125">SUM(L185:L186)</f>
        <v>396.49553588946293</v>
      </c>
      <c r="M187" s="98">
        <f t="shared" ref="M187" si="126">SUM(M185:M186)</f>
        <v>431.19546446924306</v>
      </c>
      <c r="N187" s="98">
        <f t="shared" ref="N187" si="127">SUM(N185:N186)</f>
        <v>468.02917271481783</v>
      </c>
      <c r="O187" s="98">
        <f t="shared" ref="O187" si="128">SUM(O185:O186)</f>
        <v>506.96816156141773</v>
      </c>
      <c r="P187" s="98">
        <f t="shared" ref="P187:R187" si="129">SUM(P185:P186)</f>
        <v>547.96155330769534</v>
      </c>
      <c r="Q187" s="252">
        <f t="shared" si="129"/>
        <v>366.76353854375492</v>
      </c>
      <c r="R187" s="98">
        <f t="shared" si="129"/>
        <v>366.76353854375492</v>
      </c>
    </row>
    <row r="188" spans="1:18" x14ac:dyDescent="0.3">
      <c r="B188" s="11"/>
    </row>
    <row r="189" spans="1:18" x14ac:dyDescent="0.3">
      <c r="B189" s="11" t="s">
        <v>211</v>
      </c>
      <c r="F189" s="160">
        <f>F43</f>
        <v>187.9</v>
      </c>
      <c r="G189" s="159">
        <f>G43</f>
        <v>263.3</v>
      </c>
      <c r="H189" s="159">
        <f>H43</f>
        <v>231.8</v>
      </c>
      <c r="I189" s="159">
        <f>I43</f>
        <v>250.2</v>
      </c>
      <c r="J189" s="159">
        <f>J178*'Inputs and Drivers'!K106/365</f>
        <v>258.27283223781495</v>
      </c>
      <c r="K189" s="159">
        <f>K178*'Inputs and Drivers'!L106/365</f>
        <v>256.09865294045443</v>
      </c>
      <c r="L189" s="159">
        <f>L178*'Inputs and Drivers'!M106/365</f>
        <v>271.32187735244605</v>
      </c>
      <c r="M189" s="159">
        <f>M178*'Inputs and Drivers'!N106/365</f>
        <v>289.48340391065921</v>
      </c>
      <c r="N189" s="159">
        <f>N178*'Inputs and Drivers'!O106/365</f>
        <v>308.58639144383756</v>
      </c>
      <c r="O189" s="159">
        <f>O178*'Inputs and Drivers'!P106/365</f>
        <v>328.59917579869972</v>
      </c>
      <c r="P189" s="159">
        <f>P178*'Inputs and Drivers'!Q106/365</f>
        <v>349.48112331283471</v>
      </c>
      <c r="Q189" s="363">
        <f t="shared" ref="Q189:R189" si="130">$K189</f>
        <v>256.09865294045443</v>
      </c>
      <c r="R189" s="364">
        <f t="shared" si="130"/>
        <v>256.09865294045443</v>
      </c>
    </row>
    <row r="191" spans="1:18" x14ac:dyDescent="0.3">
      <c r="B191" s="11" t="s">
        <v>212</v>
      </c>
      <c r="F191" s="163">
        <f>F44</f>
        <v>16.399999999999999</v>
      </c>
      <c r="G191" s="162" cm="1">
        <f t="array" ref="G191">_xlfn.ANCHORARRAY(G44)</f>
        <v>11.6</v>
      </c>
      <c r="H191" s="162" cm="1">
        <f t="array" ref="H191">_xlfn.ANCHORARRAY(H44)</f>
        <v>110.5</v>
      </c>
      <c r="I191" s="162" cm="1">
        <f t="array" ref="I191">_xlfn.ANCHORARRAY(I44)</f>
        <v>19.099999999999998</v>
      </c>
      <c r="J191" s="159">
        <f>J178*'Inputs and Drivers'!K110</f>
        <v>18.653527928006614</v>
      </c>
      <c r="K191" s="159">
        <f>K178*'Inputs and Drivers'!L110</f>
        <v>19.309809613231735</v>
      </c>
      <c r="L191" s="159">
        <f>L178*'Inputs and Drivers'!M110</f>
        <v>20.262362207441218</v>
      </c>
      <c r="M191" s="159">
        <f>M178*'Inputs and Drivers'!N110</f>
        <v>21.411508951164965</v>
      </c>
      <c r="N191" s="159">
        <f>N178*'Inputs and Drivers'!O110</f>
        <v>22.604880047931825</v>
      </c>
      <c r="O191" s="159">
        <f>O178*'Inputs and Drivers'!P110</f>
        <v>23.838390731138041</v>
      </c>
      <c r="P191" s="161">
        <f>P178*'Inputs and Drivers'!Q110</f>
        <v>25.107421181680639</v>
      </c>
      <c r="Q191" s="363">
        <f t="shared" ref="Q191:R197" si="131">$K191</f>
        <v>19.309809613231735</v>
      </c>
      <c r="R191" s="364">
        <f t="shared" si="131"/>
        <v>19.309809613231735</v>
      </c>
    </row>
    <row r="193" spans="2:18" x14ac:dyDescent="0.3">
      <c r="B193" s="11" t="s">
        <v>299</v>
      </c>
      <c r="F193" s="163">
        <f>F50</f>
        <v>129</v>
      </c>
      <c r="G193" s="162">
        <f>G50</f>
        <v>131.60000000000002</v>
      </c>
      <c r="H193" s="162">
        <f>H50</f>
        <v>150.20000000000002</v>
      </c>
      <c r="I193" s="162">
        <f>I50</f>
        <v>157.39999999999998</v>
      </c>
      <c r="J193" s="253">
        <f>I193</f>
        <v>157.39999999999998</v>
      </c>
      <c r="K193" s="253">
        <f t="shared" ref="K193:O193" si="132">J193</f>
        <v>157.39999999999998</v>
      </c>
      <c r="L193" s="253">
        <f t="shared" si="132"/>
        <v>157.39999999999998</v>
      </c>
      <c r="M193" s="253">
        <f t="shared" si="132"/>
        <v>157.39999999999998</v>
      </c>
      <c r="N193" s="253">
        <f t="shared" si="132"/>
        <v>157.39999999999998</v>
      </c>
      <c r="O193" s="253">
        <f t="shared" si="132"/>
        <v>157.39999999999998</v>
      </c>
      <c r="P193" s="254">
        <f>O193</f>
        <v>157.39999999999998</v>
      </c>
      <c r="Q193" s="365">
        <f t="shared" si="131"/>
        <v>157.39999999999998</v>
      </c>
      <c r="R193" s="366">
        <f t="shared" si="131"/>
        <v>157.39999999999998</v>
      </c>
    </row>
    <row r="195" spans="2:18" x14ac:dyDescent="0.3">
      <c r="B195" s="11" t="s">
        <v>222</v>
      </c>
      <c r="F195" s="163">
        <f>F58</f>
        <v>63.500000000000007</v>
      </c>
      <c r="G195" s="162">
        <f>G58</f>
        <v>44.2</v>
      </c>
      <c r="H195" s="162">
        <f>H58</f>
        <v>53.4</v>
      </c>
      <c r="I195" s="162">
        <f>I58</f>
        <v>51.3</v>
      </c>
      <c r="J195" s="159">
        <f>'Inputs and Drivers'!K112*J178</f>
        <v>61.198536604047085</v>
      </c>
      <c r="K195" s="159">
        <f>'Inputs and Drivers'!L112*K178</f>
        <v>62.74085437958778</v>
      </c>
      <c r="L195" s="159">
        <f>'Inputs and Drivers'!M112*L178</f>
        <v>65.186265333463993</v>
      </c>
      <c r="M195" s="159">
        <f>'Inputs and Drivers'!N112*M178</f>
        <v>68.187435506223608</v>
      </c>
      <c r="N195" s="159">
        <f>'Inputs and Drivers'!O112*N178</f>
        <v>71.243274501166511</v>
      </c>
      <c r="O195" s="159">
        <f>'Inputs and Drivers'!P112*O178</f>
        <v>74.334864119324223</v>
      </c>
      <c r="P195" s="161">
        <f>'Inputs and Drivers'!Q112*P178</f>
        <v>77.442017549311345</v>
      </c>
      <c r="Q195" s="363">
        <f t="shared" si="131"/>
        <v>62.74085437958778</v>
      </c>
      <c r="R195" s="364">
        <f t="shared" si="131"/>
        <v>62.74085437958778</v>
      </c>
    </row>
    <row r="196" spans="2:18" x14ac:dyDescent="0.3">
      <c r="B196" s="11"/>
    </row>
    <row r="197" spans="2:18" x14ac:dyDescent="0.3">
      <c r="B197" s="11" t="s">
        <v>300</v>
      </c>
      <c r="F197" s="163">
        <f>F63</f>
        <v>113.1</v>
      </c>
      <c r="G197" s="162">
        <f>G63</f>
        <v>93.1</v>
      </c>
      <c r="H197" s="162">
        <f>H63</f>
        <v>79</v>
      </c>
      <c r="I197" s="162">
        <f>I63</f>
        <v>141.9</v>
      </c>
      <c r="J197" s="162">
        <f>I197</f>
        <v>141.9</v>
      </c>
      <c r="K197" s="162">
        <f t="shared" ref="K197:O197" si="133">J197</f>
        <v>141.9</v>
      </c>
      <c r="L197" s="162">
        <f t="shared" si="133"/>
        <v>141.9</v>
      </c>
      <c r="M197" s="162">
        <f t="shared" si="133"/>
        <v>141.9</v>
      </c>
      <c r="N197" s="162">
        <f t="shared" si="133"/>
        <v>141.9</v>
      </c>
      <c r="O197" s="162">
        <f t="shared" si="133"/>
        <v>141.9</v>
      </c>
      <c r="P197" s="259">
        <f>O197</f>
        <v>141.9</v>
      </c>
      <c r="Q197" s="363">
        <f t="shared" si="131"/>
        <v>141.9</v>
      </c>
      <c r="R197" s="364">
        <f t="shared" si="131"/>
        <v>141.9</v>
      </c>
    </row>
    <row r="199" spans="2:18" s="93" customFormat="1" x14ac:dyDescent="0.3">
      <c r="B199" s="93" t="s">
        <v>301</v>
      </c>
      <c r="F199" s="234">
        <v>365</v>
      </c>
      <c r="G199" s="234">
        <v>365</v>
      </c>
      <c r="H199" s="234">
        <v>365</v>
      </c>
      <c r="I199" s="234">
        <v>365</v>
      </c>
      <c r="J199" s="234">
        <v>365</v>
      </c>
      <c r="K199" s="234">
        <v>365</v>
      </c>
      <c r="L199" s="234">
        <v>365</v>
      </c>
      <c r="M199" s="234">
        <v>365</v>
      </c>
      <c r="N199" s="234">
        <v>365</v>
      </c>
      <c r="O199" s="234">
        <v>365</v>
      </c>
      <c r="P199" s="234">
        <v>365</v>
      </c>
      <c r="Q199" s="362">
        <f>Q6</f>
        <v>91.25</v>
      </c>
      <c r="R199" s="362">
        <f>R6</f>
        <v>273.75</v>
      </c>
    </row>
    <row r="202" spans="2:18" x14ac:dyDescent="0.3">
      <c r="B202" s="11" t="s">
        <v>302</v>
      </c>
    </row>
    <row r="203" spans="2:18" x14ac:dyDescent="0.3">
      <c r="B203" s="11"/>
    </row>
    <row r="204" spans="2:18" x14ac:dyDescent="0.3">
      <c r="B204" t="s">
        <v>303</v>
      </c>
      <c r="F204" s="166"/>
      <c r="G204" s="166"/>
      <c r="H204" s="166"/>
      <c r="I204" s="166"/>
      <c r="J204" s="97">
        <f t="shared" ref="J204:O204" si="134">-(J189-I189)</f>
        <v>-8.0728322378149642</v>
      </c>
      <c r="K204" s="97">
        <f t="shared" si="134"/>
        <v>2.1741792973605243</v>
      </c>
      <c r="L204" s="97">
        <f t="shared" si="134"/>
        <v>-15.223224411991623</v>
      </c>
      <c r="M204" s="97">
        <f t="shared" si="134"/>
        <v>-18.161526558213154</v>
      </c>
      <c r="N204" s="97">
        <f t="shared" si="134"/>
        <v>-19.10298753317835</v>
      </c>
      <c r="O204" s="97">
        <f t="shared" si="134"/>
        <v>-20.012784354862163</v>
      </c>
      <c r="P204" s="97">
        <f>-(P189-O189)</f>
        <v>-20.881947514134993</v>
      </c>
      <c r="Q204" s="249">
        <f>-(Q189-J189)</f>
        <v>2.1741792973605243</v>
      </c>
      <c r="R204" s="97">
        <f>-(R189-Q189)</f>
        <v>0</v>
      </c>
    </row>
    <row r="205" spans="2:18" x14ac:dyDescent="0.3">
      <c r="B205" t="s">
        <v>304</v>
      </c>
      <c r="F205" s="166"/>
      <c r="G205" s="166"/>
      <c r="H205" s="166"/>
      <c r="I205" s="166"/>
      <c r="J205" s="97">
        <f t="shared" ref="J205:O205" si="135">-(J183-I183)</f>
        <v>-24.749818952807004</v>
      </c>
      <c r="K205" s="97">
        <f t="shared" si="135"/>
        <v>-7.8822095162179266</v>
      </c>
      <c r="L205" s="97">
        <f t="shared" si="135"/>
        <v>-25.477032390402428</v>
      </c>
      <c r="M205" s="97">
        <f t="shared" si="135"/>
        <v>-30.1601290286319</v>
      </c>
      <c r="N205" s="97">
        <f t="shared" si="135"/>
        <v>-31.901726020008255</v>
      </c>
      <c r="O205" s="97">
        <f t="shared" si="135"/>
        <v>-33.612543974525352</v>
      </c>
      <c r="P205" s="97">
        <f>-(P183-O183)</f>
        <v>-35.276515174006136</v>
      </c>
      <c r="Q205" s="249">
        <f>-(Q183-J183)</f>
        <v>-7.8822095162179266</v>
      </c>
      <c r="R205" s="97">
        <f>-(R183-Q183)</f>
        <v>0</v>
      </c>
    </row>
    <row r="206" spans="2:18" x14ac:dyDescent="0.3">
      <c r="B206" t="s">
        <v>305</v>
      </c>
      <c r="F206" s="166"/>
      <c r="G206" s="166"/>
      <c r="H206" s="166"/>
      <c r="I206" s="166"/>
      <c r="J206" s="97">
        <f t="shared" ref="J206:O206" si="136">J187-I187</f>
        <v>43.995851590571363</v>
      </c>
      <c r="K206" s="97">
        <f t="shared" si="136"/>
        <v>-8.032313046816455</v>
      </c>
      <c r="L206" s="97">
        <f t="shared" si="136"/>
        <v>29.73199734570801</v>
      </c>
      <c r="M206" s="97">
        <f t="shared" si="136"/>
        <v>34.699928579780135</v>
      </c>
      <c r="N206" s="97">
        <f t="shared" si="136"/>
        <v>36.833708245574769</v>
      </c>
      <c r="O206" s="97">
        <f t="shared" si="136"/>
        <v>38.938988846599898</v>
      </c>
      <c r="P206" s="97">
        <f>P187-O187</f>
        <v>40.993391746277609</v>
      </c>
      <c r="Q206" s="249">
        <f>Q187-J187</f>
        <v>-8.032313046816455</v>
      </c>
      <c r="R206" s="97">
        <f>R187-Q187</f>
        <v>0</v>
      </c>
    </row>
    <row r="207" spans="2:18" x14ac:dyDescent="0.3">
      <c r="B207" s="11" t="s">
        <v>306</v>
      </c>
      <c r="F207" s="168"/>
      <c r="G207" s="168"/>
      <c r="H207" s="168"/>
      <c r="I207" s="168"/>
      <c r="J207" s="98">
        <f>SUM(J204:J206)</f>
        <v>11.173200399949394</v>
      </c>
      <c r="K207" s="98">
        <f t="shared" ref="K207:R207" si="137">SUM(K204:K206)</f>
        <v>-13.740343265673857</v>
      </c>
      <c r="L207" s="98">
        <f t="shared" si="137"/>
        <v>-10.968259456686042</v>
      </c>
      <c r="M207" s="98">
        <f t="shared" si="137"/>
        <v>-13.621727007064919</v>
      </c>
      <c r="N207" s="98">
        <f t="shared" si="137"/>
        <v>-14.171005307611836</v>
      </c>
      <c r="O207" s="98">
        <f t="shared" si="137"/>
        <v>-14.686339482787616</v>
      </c>
      <c r="P207" s="98">
        <f t="shared" si="137"/>
        <v>-15.165070941863519</v>
      </c>
      <c r="Q207" s="252">
        <f t="shared" si="137"/>
        <v>-13.740343265673857</v>
      </c>
      <c r="R207" s="98">
        <f t="shared" si="137"/>
        <v>0</v>
      </c>
    </row>
    <row r="208" spans="2:18" x14ac:dyDescent="0.3">
      <c r="F208" s="166"/>
      <c r="G208" s="166"/>
      <c r="H208" s="166"/>
      <c r="I208" s="166"/>
      <c r="Q208" s="248"/>
    </row>
    <row r="209" spans="1:19" x14ac:dyDescent="0.3">
      <c r="B209" t="s">
        <v>307</v>
      </c>
      <c r="F209" s="166"/>
      <c r="G209" s="166"/>
      <c r="H209" s="166"/>
      <c r="I209" s="166"/>
      <c r="J209" s="97">
        <f t="shared" ref="J209:O209" si="138">I191-J191</f>
        <v>0.44647207199338368</v>
      </c>
      <c r="K209" s="97">
        <f>J191-K191</f>
        <v>-0.65628168522512098</v>
      </c>
      <c r="L209" s="97">
        <f t="shared" si="138"/>
        <v>-0.95255259420948235</v>
      </c>
      <c r="M209" s="97">
        <f t="shared" si="138"/>
        <v>-1.1491467437237475</v>
      </c>
      <c r="N209" s="97">
        <f t="shared" si="138"/>
        <v>-1.1933710967668603</v>
      </c>
      <c r="O209" s="97">
        <f t="shared" si="138"/>
        <v>-1.2335106832062159</v>
      </c>
      <c r="P209" s="97">
        <f>O191-P191</f>
        <v>-1.2690304505425978</v>
      </c>
      <c r="Q209" s="249">
        <f>J191-Q191</f>
        <v>-0.65628168522512098</v>
      </c>
      <c r="R209" s="172">
        <f>Q191-R191</f>
        <v>0</v>
      </c>
    </row>
    <row r="210" spans="1:19" x14ac:dyDescent="0.3">
      <c r="B210" t="s">
        <v>308</v>
      </c>
      <c r="F210" s="166"/>
      <c r="G210" s="166"/>
      <c r="H210" s="166"/>
      <c r="I210" s="166"/>
      <c r="J210" s="97">
        <f t="shared" ref="J210:O210" si="139">I193-J193</f>
        <v>0</v>
      </c>
      <c r="K210" s="97">
        <f t="shared" si="139"/>
        <v>0</v>
      </c>
      <c r="L210" s="97">
        <f t="shared" si="139"/>
        <v>0</v>
      </c>
      <c r="M210" s="97">
        <f t="shared" si="139"/>
        <v>0</v>
      </c>
      <c r="N210" s="97">
        <f t="shared" si="139"/>
        <v>0</v>
      </c>
      <c r="O210" s="97">
        <f t="shared" si="139"/>
        <v>0</v>
      </c>
      <c r="P210" s="97">
        <f>O193-P193</f>
        <v>0</v>
      </c>
      <c r="Q210" s="249">
        <f>P193-Q193</f>
        <v>0</v>
      </c>
      <c r="R210" s="172">
        <f t="shared" ref="R210" si="140">Q193-R193</f>
        <v>0</v>
      </c>
    </row>
    <row r="211" spans="1:19" x14ac:dyDescent="0.3">
      <c r="B211" t="s">
        <v>309</v>
      </c>
      <c r="F211" s="166"/>
      <c r="G211" s="166"/>
      <c r="H211" s="166"/>
      <c r="I211" s="166"/>
      <c r="J211" s="97">
        <f t="shared" ref="J211:O211" si="141">J195-I195</f>
        <v>9.8985366040470879</v>
      </c>
      <c r="K211" s="97">
        <f t="shared" si="141"/>
        <v>1.5423177755406954</v>
      </c>
      <c r="L211" s="97">
        <f t="shared" si="141"/>
        <v>2.4454109538762125</v>
      </c>
      <c r="M211" s="97">
        <f t="shared" si="141"/>
        <v>3.0011701727596147</v>
      </c>
      <c r="N211" s="97">
        <f t="shared" si="141"/>
        <v>3.0558389949429028</v>
      </c>
      <c r="O211" s="97">
        <f t="shared" si="141"/>
        <v>3.0915896181577125</v>
      </c>
      <c r="P211" s="97">
        <f>P195-O195</f>
        <v>3.1071534299871217</v>
      </c>
      <c r="Q211" s="249">
        <f>Q195-J195</f>
        <v>1.5423177755406954</v>
      </c>
      <c r="R211" s="97">
        <f>R195-Q195</f>
        <v>0</v>
      </c>
    </row>
    <row r="212" spans="1:19" x14ac:dyDescent="0.3">
      <c r="B212" t="s">
        <v>310</v>
      </c>
      <c r="F212" s="166"/>
      <c r="G212" s="166"/>
      <c r="H212" s="166"/>
      <c r="I212" s="166"/>
      <c r="J212" s="172">
        <f t="shared" ref="J212:O212" si="142">J197-I197</f>
        <v>0</v>
      </c>
      <c r="K212" s="172">
        <f t="shared" si="142"/>
        <v>0</v>
      </c>
      <c r="L212" s="172">
        <f t="shared" si="142"/>
        <v>0</v>
      </c>
      <c r="M212" s="172">
        <f t="shared" si="142"/>
        <v>0</v>
      </c>
      <c r="N212" s="172">
        <f t="shared" si="142"/>
        <v>0</v>
      </c>
      <c r="O212" s="172">
        <f t="shared" si="142"/>
        <v>0</v>
      </c>
      <c r="P212" s="172">
        <f>P197-O197</f>
        <v>0</v>
      </c>
      <c r="Q212" s="249">
        <f>Q197-J197</f>
        <v>0</v>
      </c>
      <c r="R212" s="97">
        <f>R197-Q197</f>
        <v>0</v>
      </c>
    </row>
    <row r="213" spans="1:19" x14ac:dyDescent="0.3">
      <c r="B213" s="11" t="s">
        <v>311</v>
      </c>
      <c r="F213" s="168"/>
      <c r="G213" s="168"/>
      <c r="H213" s="168"/>
      <c r="I213" s="168"/>
      <c r="J213" s="98">
        <f>SUM(J209:J212)</f>
        <v>10.345008676040472</v>
      </c>
      <c r="K213" s="98">
        <f t="shared" ref="K213:R213" si="143">SUM(K209:K212)</f>
        <v>0.8860360903155744</v>
      </c>
      <c r="L213" s="98">
        <f t="shared" si="143"/>
        <v>1.4928583596667302</v>
      </c>
      <c r="M213" s="98">
        <f t="shared" si="143"/>
        <v>1.8520234290358673</v>
      </c>
      <c r="N213" s="98">
        <f t="shared" si="143"/>
        <v>1.8624678981760425</v>
      </c>
      <c r="O213" s="98">
        <f t="shared" si="143"/>
        <v>1.8580789349514966</v>
      </c>
      <c r="P213" s="98">
        <f t="shared" si="143"/>
        <v>1.838122979444524</v>
      </c>
      <c r="Q213" s="252">
        <f>SUM(Q209:Q212)</f>
        <v>0.8860360903155744</v>
      </c>
      <c r="R213" s="255">
        <f t="shared" si="143"/>
        <v>0</v>
      </c>
    </row>
    <row r="216" spans="1:19" s="8" customFormat="1" ht="21" x14ac:dyDescent="0.4">
      <c r="A216" t="s">
        <v>3</v>
      </c>
      <c r="B216" s="9" t="s">
        <v>312</v>
      </c>
    </row>
    <row r="218" spans="1:19" ht="15" thickBot="1" x14ac:dyDescent="0.35">
      <c r="B218" s="11"/>
      <c r="F218" s="83">
        <v>2021</v>
      </c>
      <c r="G218" s="83">
        <v>2022</v>
      </c>
      <c r="H218" s="83">
        <v>2023</v>
      </c>
      <c r="I218" s="83">
        <v>2024</v>
      </c>
      <c r="J218" s="80">
        <v>2025</v>
      </c>
      <c r="K218" s="80">
        <v>2026</v>
      </c>
      <c r="L218" s="80">
        <v>2027</v>
      </c>
      <c r="M218" s="80">
        <v>2028</v>
      </c>
      <c r="N218" s="80">
        <v>2029</v>
      </c>
      <c r="O218" s="80">
        <v>2030</v>
      </c>
      <c r="P218" s="80">
        <v>2031</v>
      </c>
      <c r="Q218" s="238">
        <v>2026</v>
      </c>
      <c r="R218" s="238">
        <v>2026</v>
      </c>
    </row>
    <row r="219" spans="1:19" x14ac:dyDescent="0.3">
      <c r="B219" s="11"/>
      <c r="J219" s="95"/>
      <c r="K219" s="95"/>
      <c r="L219" s="95"/>
      <c r="M219" s="95"/>
      <c r="N219" s="95"/>
      <c r="O219" s="95"/>
      <c r="P219" s="95"/>
    </row>
    <row r="220" spans="1:19" x14ac:dyDescent="0.3">
      <c r="B220" t="s">
        <v>313</v>
      </c>
      <c r="F220" s="166"/>
      <c r="G220" s="166"/>
      <c r="H220" s="166"/>
      <c r="I220" s="166"/>
      <c r="J220" s="97">
        <f t="shared" ref="J220:O220" si="144">I48</f>
        <v>592.4</v>
      </c>
      <c r="K220" s="97">
        <f t="shared" si="144"/>
        <v>570.96924883357474</v>
      </c>
      <c r="L220" s="97">
        <f t="shared" si="144"/>
        <v>553.65155187891799</v>
      </c>
      <c r="M220" s="97">
        <f t="shared" si="144"/>
        <v>540.65563779786123</v>
      </c>
      <c r="N220" s="97">
        <f t="shared" si="144"/>
        <v>532.46661908655551</v>
      </c>
      <c r="O220" s="97">
        <f t="shared" si="144"/>
        <v>529.75418727731824</v>
      </c>
      <c r="P220" s="97">
        <f>O48</f>
        <v>533.23668620783224</v>
      </c>
      <c r="Q220" s="249">
        <f>J223</f>
        <v>570.96924883357474</v>
      </c>
      <c r="R220" s="97">
        <f>Q223</f>
        <v>566.63982459491046</v>
      </c>
    </row>
    <row r="221" spans="1:19" x14ac:dyDescent="0.3">
      <c r="B221" t="s">
        <v>241</v>
      </c>
      <c r="F221" s="166"/>
      <c r="G221" s="166"/>
      <c r="H221" s="166"/>
      <c r="I221" s="166"/>
      <c r="J221" s="107">
        <f>J178*'Inputs and Drivers'!K108</f>
        <v>47.050000000000075</v>
      </c>
      <c r="K221" s="107">
        <f>K178*'Inputs and Drivers'!L108</f>
        <v>52.459996789828644</v>
      </c>
      <c r="L221" s="107">
        <f>L178*'Inputs and Drivers'!M108</f>
        <v>59.040888021288154</v>
      </c>
      <c r="M221" s="107">
        <f>M178*'Inputs and Drivers'!N108</f>
        <v>66.666128915173871</v>
      </c>
      <c r="N221" s="107">
        <f>N178*'Inputs and Drivers'!O108</f>
        <v>74.958742458651514</v>
      </c>
      <c r="O221" s="107">
        <f>O178*'Inputs and Drivers'!P108</f>
        <v>83.942337769624473</v>
      </c>
      <c r="P221" s="107">
        <f>P178*'Inputs and Drivers'!Q108</f>
        <v>93.636182117085667</v>
      </c>
      <c r="Q221" s="250">
        <f>Q178*'Inputs and Drivers'!R108</f>
        <v>13.114999197457161</v>
      </c>
      <c r="R221" s="107">
        <f>R178*'Inputs and Drivers'!S108</f>
        <v>39.344997592371485</v>
      </c>
      <c r="S221" s="97"/>
    </row>
    <row r="222" spans="1:19" x14ac:dyDescent="0.3">
      <c r="B222" t="s">
        <v>314</v>
      </c>
      <c r="F222" s="166"/>
      <c r="G222" s="166"/>
      <c r="H222" s="166"/>
      <c r="I222" s="166"/>
      <c r="J222" s="107">
        <f>-J13*'Inputs and Drivers'!K83</f>
        <v>-68.480751166425335</v>
      </c>
      <c r="K222" s="107">
        <f>-K13*'Inputs and Drivers'!L83</f>
        <v>-69.77769374448539</v>
      </c>
      <c r="L222" s="107">
        <f>-L13*'Inputs and Drivers'!M83</f>
        <v>-72.036802102344993</v>
      </c>
      <c r="M222" s="107">
        <f>-M13*'Inputs and Drivers'!N83</f>
        <v>-74.855147626479663</v>
      </c>
      <c r="N222" s="107">
        <f>-N13*'Inputs and Drivers'!O83</f>
        <v>-77.671174267888802</v>
      </c>
      <c r="O222" s="107">
        <f>-O13*'Inputs and Drivers'!P83</f>
        <v>-80.459838839110446</v>
      </c>
      <c r="P222" s="107">
        <f>-P13*'Inputs and Drivers'!Q83</f>
        <v>-83.1950203976062</v>
      </c>
      <c r="Q222" s="250">
        <f>-Q13*'Inputs and Drivers'!R83</f>
        <v>-17.444423436121347</v>
      </c>
      <c r="R222" s="107">
        <f>-R13*'Inputs and Drivers'!S83</f>
        <v>-52.333270308364042</v>
      </c>
      <c r="S222" s="97"/>
    </row>
    <row r="223" spans="1:19" x14ac:dyDescent="0.3">
      <c r="B223" s="11" t="s">
        <v>315</v>
      </c>
      <c r="C223" s="11"/>
      <c r="D223" s="11"/>
      <c r="E223" s="11"/>
      <c r="F223" s="168"/>
      <c r="G223" s="168"/>
      <c r="H223" s="168"/>
      <c r="I223" s="168"/>
      <c r="J223" s="98">
        <f>SUM(J220:J222)</f>
        <v>570.96924883357474</v>
      </c>
      <c r="K223" s="98">
        <f t="shared" ref="K223:Q223" si="145">SUM(K220:K222)</f>
        <v>553.65155187891799</v>
      </c>
      <c r="L223" s="98">
        <f t="shared" si="145"/>
        <v>540.65563779786123</v>
      </c>
      <c r="M223" s="98">
        <f t="shared" si="145"/>
        <v>532.46661908655551</v>
      </c>
      <c r="N223" s="98">
        <f t="shared" si="145"/>
        <v>529.75418727731824</v>
      </c>
      <c r="O223" s="98">
        <f t="shared" si="145"/>
        <v>533.23668620783224</v>
      </c>
      <c r="P223" s="98">
        <f t="shared" si="145"/>
        <v>543.67784792731175</v>
      </c>
      <c r="Q223" s="252">
        <f t="shared" si="145"/>
        <v>566.63982459491046</v>
      </c>
      <c r="R223" s="98">
        <f>SUM(R220:R222)</f>
        <v>553.65155187891787</v>
      </c>
    </row>
    <row r="224" spans="1:19" x14ac:dyDescent="0.3">
      <c r="B224" s="11"/>
      <c r="C224" s="11"/>
      <c r="D224" s="11"/>
      <c r="E224" s="11"/>
      <c r="F224" s="11"/>
      <c r="G224" s="11"/>
      <c r="H224" s="11"/>
      <c r="J224" s="149"/>
      <c r="K224" s="149"/>
      <c r="L224" s="149"/>
      <c r="M224" s="149"/>
      <c r="N224" s="149"/>
      <c r="O224" s="149"/>
      <c r="P224" s="149"/>
      <c r="Q224" s="97"/>
      <c r="R224" s="97"/>
    </row>
    <row r="226" spans="1:18" s="8" customFormat="1" ht="21" x14ac:dyDescent="0.4">
      <c r="A226" t="s">
        <v>3</v>
      </c>
      <c r="B226" s="9" t="s">
        <v>316</v>
      </c>
    </row>
    <row r="228" spans="1:18" ht="15" thickBot="1" x14ac:dyDescent="0.35">
      <c r="F228" s="83">
        <v>2021</v>
      </c>
      <c r="G228" s="83">
        <v>2022</v>
      </c>
      <c r="H228" s="83">
        <v>2023</v>
      </c>
      <c r="I228" s="83">
        <v>2024</v>
      </c>
      <c r="J228" s="80">
        <v>2025</v>
      </c>
      <c r="K228" s="80">
        <v>2026</v>
      </c>
      <c r="L228" s="80">
        <v>2027</v>
      </c>
      <c r="M228" s="80">
        <v>2028</v>
      </c>
      <c r="N228" s="80">
        <v>2029</v>
      </c>
      <c r="O228" s="80">
        <v>2030</v>
      </c>
      <c r="P228" s="80">
        <v>2031</v>
      </c>
      <c r="Q228" s="238">
        <v>2026</v>
      </c>
      <c r="R228" s="238">
        <v>2026</v>
      </c>
    </row>
    <row r="229" spans="1:18" x14ac:dyDescent="0.3">
      <c r="B229" s="11" t="s">
        <v>317</v>
      </c>
      <c r="J229" s="95"/>
      <c r="K229" s="95"/>
      <c r="L229" s="95"/>
      <c r="M229" s="95"/>
      <c r="N229" s="95"/>
      <c r="O229" s="95"/>
      <c r="P229" s="95"/>
    </row>
    <row r="230" spans="1:18" x14ac:dyDescent="0.3">
      <c r="B230" t="s">
        <v>318</v>
      </c>
      <c r="F230" s="166"/>
      <c r="G230" s="166"/>
      <c r="H230" s="166"/>
      <c r="I230" s="166"/>
      <c r="J230" s="97">
        <f t="shared" ref="J230" si="146">I70</f>
        <v>1144</v>
      </c>
      <c r="K230" s="133">
        <f t="shared" ref="K230:O230" ca="1" si="147">J234</f>
        <v>1163.5724944780682</v>
      </c>
      <c r="L230" s="97">
        <f t="shared" ca="1" si="147"/>
        <v>1159.7805023310586</v>
      </c>
      <c r="M230" s="97">
        <f t="shared" ca="1" si="147"/>
        <v>1239.1947935820012</v>
      </c>
      <c r="N230" s="97">
        <f t="shared" ca="1" si="147"/>
        <v>1337.7207910367845</v>
      </c>
      <c r="O230" s="97">
        <f t="shared" ca="1" si="147"/>
        <v>1458.2636658634165</v>
      </c>
      <c r="P230" s="97">
        <f ca="1">O234</f>
        <v>1606.5211560372779</v>
      </c>
      <c r="Q230" s="249">
        <f ca="1">J234</f>
        <v>1163.5724944780682</v>
      </c>
      <c r="R230" s="97">
        <f ca="1">Q234</f>
        <v>1201.2467203400688</v>
      </c>
    </row>
    <row r="231" spans="1:18" x14ac:dyDescent="0.3">
      <c r="B231" t="s">
        <v>319</v>
      </c>
      <c r="D231" s="97"/>
      <c r="F231" s="166"/>
      <c r="G231" s="166"/>
      <c r="H231" s="166"/>
      <c r="I231" s="166"/>
      <c r="J231" s="97">
        <f ca="1">Model!J31</f>
        <v>100.35249447806808</v>
      </c>
      <c r="K231" s="97">
        <f ca="1">Model!K31</f>
        <v>79.131760992990451</v>
      </c>
      <c r="L231" s="97">
        <f ca="1">Model!L31</f>
        <v>79.41429125094254</v>
      </c>
      <c r="M231" s="97">
        <f ca="1">Model!M31</f>
        <v>98.52599745478318</v>
      </c>
      <c r="N231" s="97">
        <f ca="1">Model!N31</f>
        <v>120.54287482663207</v>
      </c>
      <c r="O231" s="97">
        <f ca="1">Model!O31</f>
        <v>148.25749017386138</v>
      </c>
      <c r="P231" s="97">
        <f ca="1">Model!P31</f>
        <v>176.41862453420688</v>
      </c>
      <c r="Q231" s="249">
        <f ca="1">Model!Q31</f>
        <v>37.674225862000611</v>
      </c>
      <c r="R231" s="97">
        <f ca="1">Model!R31</f>
        <v>41.457535130989939</v>
      </c>
    </row>
    <row r="232" spans="1:18" x14ac:dyDescent="0.3">
      <c r="B232" t="s">
        <v>320</v>
      </c>
      <c r="F232" s="166"/>
      <c r="G232" s="166"/>
      <c r="H232" s="166"/>
      <c r="I232" s="166"/>
      <c r="J232" s="108">
        <v>-80.78</v>
      </c>
      <c r="K232" s="97">
        <v>0</v>
      </c>
      <c r="L232" s="97">
        <v>0</v>
      </c>
      <c r="M232" s="97">
        <v>0</v>
      </c>
      <c r="N232" s="97">
        <v>0</v>
      </c>
      <c r="O232" s="97">
        <v>0</v>
      </c>
      <c r="P232" s="97">
        <v>0</v>
      </c>
      <c r="Q232" s="249">
        <v>0</v>
      </c>
      <c r="R232" s="97">
        <v>0</v>
      </c>
    </row>
    <row r="233" spans="1:18" x14ac:dyDescent="0.3">
      <c r="B233" t="s">
        <v>321</v>
      </c>
      <c r="F233" s="166"/>
      <c r="G233" s="166"/>
      <c r="H233" s="166"/>
      <c r="I233" s="166"/>
      <c r="J233" s="108">
        <v>0</v>
      </c>
      <c r="K233" s="97">
        <f>K107</f>
        <v>-82.923753139999988</v>
      </c>
      <c r="L233" s="97">
        <v>0</v>
      </c>
      <c r="M233" s="97">
        <v>0</v>
      </c>
      <c r="N233" s="97">
        <v>0</v>
      </c>
      <c r="O233" s="97">
        <v>0</v>
      </c>
      <c r="P233" s="97">
        <v>0</v>
      </c>
      <c r="Q233" s="249">
        <v>0</v>
      </c>
      <c r="R233" s="97">
        <f>K233</f>
        <v>-82.923753139999988</v>
      </c>
    </row>
    <row r="234" spans="1:18" x14ac:dyDescent="0.3">
      <c r="B234" s="11" t="s">
        <v>322</v>
      </c>
      <c r="F234" s="168"/>
      <c r="G234" s="168"/>
      <c r="H234" s="168"/>
      <c r="I234" s="168"/>
      <c r="J234" s="98">
        <f ca="1">SUM(J230:J233)</f>
        <v>1163.5724944780682</v>
      </c>
      <c r="K234" s="98">
        <f t="shared" ref="K234:P234" ca="1" si="148">SUM(K230:K233)</f>
        <v>1159.7805023310586</v>
      </c>
      <c r="L234" s="98">
        <f t="shared" ca="1" si="148"/>
        <v>1239.1947935820012</v>
      </c>
      <c r="M234" s="98">
        <f t="shared" ca="1" si="148"/>
        <v>1337.7207910367845</v>
      </c>
      <c r="N234" s="98">
        <f t="shared" ca="1" si="148"/>
        <v>1458.2636658634165</v>
      </c>
      <c r="O234" s="98">
        <f t="shared" ca="1" si="148"/>
        <v>1606.5211560372779</v>
      </c>
      <c r="P234" s="98">
        <f t="shared" ca="1" si="148"/>
        <v>1782.9397805714848</v>
      </c>
      <c r="Q234" s="252">
        <f ca="1">SUM(Q230:Q233)</f>
        <v>1201.2467203400688</v>
      </c>
      <c r="R234" s="98">
        <f ca="1">SUM(R230:R233)</f>
        <v>1159.7805023310589</v>
      </c>
    </row>
    <row r="235" spans="1:18" x14ac:dyDescent="0.3">
      <c r="D235" s="27"/>
      <c r="Q235" s="248"/>
    </row>
    <row r="236" spans="1:18" x14ac:dyDescent="0.3">
      <c r="Q236" s="248"/>
    </row>
    <row r="237" spans="1:18" x14ac:dyDescent="0.3">
      <c r="B237" s="11" t="s">
        <v>316</v>
      </c>
      <c r="D237" s="27"/>
      <c r="Q237" s="248"/>
    </row>
    <row r="238" spans="1:18" x14ac:dyDescent="0.3">
      <c r="B238" t="s">
        <v>323</v>
      </c>
      <c r="F238" s="166"/>
      <c r="G238" s="166"/>
      <c r="H238" s="166"/>
      <c r="I238" s="166"/>
      <c r="J238" s="97">
        <f>I69</f>
        <v>236.6</v>
      </c>
      <c r="K238" s="97">
        <f>J242</f>
        <v>236.6</v>
      </c>
      <c r="L238" s="97">
        <f ca="1">K242</f>
        <v>-873.1849053074634</v>
      </c>
      <c r="M238" s="97">
        <f t="shared" ref="M238:O238" ca="1" si="149">L242</f>
        <v>-873.1849053074634</v>
      </c>
      <c r="N238" s="97">
        <f t="shared" ca="1" si="149"/>
        <v>-873.1849053074634</v>
      </c>
      <c r="O238" s="97">
        <f t="shared" ca="1" si="149"/>
        <v>-873.1849053074634</v>
      </c>
      <c r="P238" s="97">
        <f ca="1">O242</f>
        <v>-873.1849053074634</v>
      </c>
      <c r="Q238" s="249">
        <f>K238</f>
        <v>236.6</v>
      </c>
      <c r="R238" s="97">
        <f>K238</f>
        <v>236.6</v>
      </c>
    </row>
    <row r="239" spans="1:18" x14ac:dyDescent="0.3">
      <c r="B239" t="s">
        <v>324</v>
      </c>
      <c r="F239" s="166"/>
      <c r="G239" s="166"/>
      <c r="H239" s="166"/>
      <c r="I239" s="166"/>
      <c r="J239" s="97">
        <v>0</v>
      </c>
      <c r="K239" s="108">
        <v>0</v>
      </c>
      <c r="L239" s="97">
        <v>0</v>
      </c>
      <c r="M239" s="97">
        <v>0</v>
      </c>
      <c r="N239" s="97">
        <v>0</v>
      </c>
      <c r="O239" s="97">
        <v>0</v>
      </c>
      <c r="P239" s="97">
        <v>0</v>
      </c>
      <c r="Q239" s="249">
        <v>0</v>
      </c>
      <c r="R239" s="97">
        <f>K239</f>
        <v>0</v>
      </c>
    </row>
    <row r="240" spans="1:18" x14ac:dyDescent="0.3">
      <c r="B240" t="s">
        <v>325</v>
      </c>
      <c r="F240" s="166"/>
      <c r="G240" s="166"/>
      <c r="H240" s="166"/>
      <c r="I240" s="166"/>
      <c r="J240" s="108">
        <v>0</v>
      </c>
      <c r="K240" s="97">
        <f>K97</f>
        <v>-4146.1876569999995</v>
      </c>
      <c r="L240" s="97">
        <v>0</v>
      </c>
      <c r="M240" s="97">
        <v>0</v>
      </c>
      <c r="N240" s="97">
        <v>0</v>
      </c>
      <c r="O240" s="97">
        <v>0</v>
      </c>
      <c r="P240" s="97">
        <v>0</v>
      </c>
      <c r="Q240" s="249">
        <v>0</v>
      </c>
      <c r="R240" s="97">
        <f>K240</f>
        <v>-4146.1876569999995</v>
      </c>
    </row>
    <row r="241" spans="1:18" x14ac:dyDescent="0.3">
      <c r="B241" t="s">
        <v>250</v>
      </c>
      <c r="F241" s="166"/>
      <c r="G241" s="166"/>
      <c r="H241" s="166"/>
      <c r="I241" s="166"/>
      <c r="J241" s="108">
        <v>0</v>
      </c>
      <c r="K241" s="107">
        <f ca="1">'Transaction Details'!F12</f>
        <v>3036.4027516925362</v>
      </c>
      <c r="L241" s="97">
        <v>0</v>
      </c>
      <c r="M241" s="97">
        <v>0</v>
      </c>
      <c r="N241" s="97">
        <v>0</v>
      </c>
      <c r="O241" s="97">
        <v>0</v>
      </c>
      <c r="P241" s="97">
        <v>0</v>
      </c>
      <c r="Q241" s="249">
        <v>0</v>
      </c>
      <c r="R241" s="97">
        <f ca="1">K241</f>
        <v>3036.4027516925362</v>
      </c>
    </row>
    <row r="242" spans="1:18" x14ac:dyDescent="0.3">
      <c r="B242" s="11" t="s">
        <v>326</v>
      </c>
      <c r="F242" s="168"/>
      <c r="G242" s="168"/>
      <c r="H242" s="168"/>
      <c r="I242" s="168"/>
      <c r="J242" s="98">
        <f>SUM(J238:J241)</f>
        <v>236.6</v>
      </c>
      <c r="K242" s="98">
        <f ca="1">SUM(K238:K241)</f>
        <v>-873.1849053074634</v>
      </c>
      <c r="L242" s="98">
        <f t="shared" ref="L242:R242" ca="1" si="150">SUM(L238:L241)</f>
        <v>-873.1849053074634</v>
      </c>
      <c r="M242" s="98">
        <f t="shared" ca="1" si="150"/>
        <v>-873.1849053074634</v>
      </c>
      <c r="N242" s="98">
        <f t="shared" ca="1" si="150"/>
        <v>-873.1849053074634</v>
      </c>
      <c r="O242" s="98">
        <f t="shared" ca="1" si="150"/>
        <v>-873.1849053074634</v>
      </c>
      <c r="P242" s="98">
        <f t="shared" ca="1" si="150"/>
        <v>-873.1849053074634</v>
      </c>
      <c r="Q242" s="252">
        <f t="shared" si="150"/>
        <v>236.6</v>
      </c>
      <c r="R242" s="98">
        <f t="shared" ca="1" si="150"/>
        <v>-873.1849053074634</v>
      </c>
    </row>
    <row r="245" spans="1:18" s="8" customFormat="1" ht="21" x14ac:dyDescent="0.4">
      <c r="A245" t="s">
        <v>327</v>
      </c>
      <c r="B245" s="9" t="s">
        <v>328</v>
      </c>
    </row>
    <row r="247" spans="1:18" ht="15" thickBot="1" x14ac:dyDescent="0.35">
      <c r="J247" s="80">
        <v>2025</v>
      </c>
      <c r="K247" s="80">
        <v>2026</v>
      </c>
      <c r="L247" s="80">
        <v>2027</v>
      </c>
      <c r="M247" s="80">
        <v>2028</v>
      </c>
      <c r="N247" s="80">
        <v>2029</v>
      </c>
      <c r="O247" s="80">
        <v>2030</v>
      </c>
      <c r="P247" s="80">
        <v>2031</v>
      </c>
      <c r="Q247" s="238">
        <v>2026</v>
      </c>
      <c r="R247" s="238">
        <v>2026</v>
      </c>
    </row>
    <row r="248" spans="1:18" x14ac:dyDescent="0.3">
      <c r="J248" s="95"/>
      <c r="K248" s="200"/>
      <c r="L248" s="95"/>
      <c r="M248" s="95"/>
      <c r="N248" s="95"/>
      <c r="O248" s="95"/>
      <c r="P248" s="95"/>
    </row>
    <row r="249" spans="1:18" x14ac:dyDescent="0.3">
      <c r="B249" s="93" t="s">
        <v>329</v>
      </c>
      <c r="J249" s="201">
        <v>1</v>
      </c>
      <c r="K249" s="231">
        <f>'Transaction Details'!F36</f>
        <v>0.25</v>
      </c>
      <c r="L249" s="202"/>
      <c r="M249" s="202"/>
      <c r="N249" s="202"/>
      <c r="O249" s="202"/>
      <c r="P249" s="202"/>
      <c r="Q249" s="368">
        <f>$Q$7</f>
        <v>0.25</v>
      </c>
      <c r="R249" s="131">
        <f>$R$7</f>
        <v>0.75</v>
      </c>
    </row>
    <row r="250" spans="1:18" x14ac:dyDescent="0.3">
      <c r="J250" s="95"/>
      <c r="K250" s="95"/>
      <c r="L250" s="95"/>
      <c r="M250" s="95"/>
      <c r="N250" s="95"/>
      <c r="O250" s="95"/>
      <c r="P250" s="95"/>
      <c r="Q250" s="248"/>
    </row>
    <row r="251" spans="1:18" x14ac:dyDescent="0.3">
      <c r="B251" s="11" t="s">
        <v>330</v>
      </c>
      <c r="Q251" s="248"/>
    </row>
    <row r="252" spans="1:18" x14ac:dyDescent="0.3">
      <c r="B252" t="s">
        <v>331</v>
      </c>
      <c r="J252" s="97">
        <f>J114</f>
        <v>105.7</v>
      </c>
      <c r="K252" s="97">
        <f ca="1">Q252</f>
        <v>32.219122063217029</v>
      </c>
      <c r="L252" s="202"/>
      <c r="M252" s="202"/>
      <c r="N252" s="202"/>
      <c r="O252" s="202"/>
      <c r="P252" s="202"/>
      <c r="Q252" s="249">
        <f ca="1">Q114</f>
        <v>32.219122063217029</v>
      </c>
      <c r="R252" s="97">
        <f t="shared" ref="R252" ca="1" si="151">R114</f>
        <v>32.833877599257598</v>
      </c>
    </row>
    <row r="253" spans="1:18" x14ac:dyDescent="0.3">
      <c r="B253" t="s">
        <v>332</v>
      </c>
      <c r="J253" s="97">
        <f ca="1">J87*J249</f>
        <v>190.35145472048328</v>
      </c>
      <c r="K253" s="97">
        <f ca="1">Q253</f>
        <v>42.264342122763679</v>
      </c>
      <c r="L253" s="202"/>
      <c r="M253" s="202"/>
      <c r="N253" s="202"/>
      <c r="O253" s="202"/>
      <c r="P253" s="202"/>
      <c r="Q253" s="249">
        <f ca="1">Q87</f>
        <v>42.264342122763679</v>
      </c>
      <c r="R253" s="97">
        <f t="shared" ref="R253" ca="1" si="152">R87</f>
        <v>98.225425059284191</v>
      </c>
    </row>
    <row r="254" spans="1:18" x14ac:dyDescent="0.3">
      <c r="B254" t="s">
        <v>333</v>
      </c>
      <c r="J254" s="97">
        <f>J93</f>
        <v>-47.050000000000075</v>
      </c>
      <c r="K254" s="97">
        <f t="shared" ref="K254:K259" si="153">Q254</f>
        <v>-13.114999197457161</v>
      </c>
      <c r="L254" s="202"/>
      <c r="M254" s="202"/>
      <c r="N254" s="202"/>
      <c r="O254" s="202"/>
      <c r="P254" s="202"/>
      <c r="Q254" s="249">
        <f>Q93</f>
        <v>-13.114999197457161</v>
      </c>
      <c r="R254" s="97">
        <f t="shared" ref="R254" si="154">R93</f>
        <v>-39.344997592371485</v>
      </c>
    </row>
    <row r="255" spans="1:18" x14ac:dyDescent="0.3">
      <c r="B255" t="s">
        <v>334</v>
      </c>
      <c r="J255" s="97">
        <v>0</v>
      </c>
      <c r="K255" s="97">
        <f t="shared" si="153"/>
        <v>0</v>
      </c>
      <c r="L255" s="202"/>
      <c r="M255" s="202"/>
      <c r="N255" s="202"/>
      <c r="O255" s="202"/>
      <c r="P255" s="202"/>
      <c r="Q255" s="249">
        <v>0</v>
      </c>
      <c r="R255" s="97">
        <v>0</v>
      </c>
    </row>
    <row r="256" spans="1:18" x14ac:dyDescent="0.3">
      <c r="B256" t="s">
        <v>335</v>
      </c>
      <c r="J256" s="97">
        <v>0</v>
      </c>
      <c r="K256" s="97">
        <f t="shared" si="153"/>
        <v>0</v>
      </c>
      <c r="L256" s="166"/>
      <c r="M256" s="166"/>
      <c r="N256" s="166"/>
      <c r="O256" s="166"/>
      <c r="P256" s="166"/>
      <c r="Q256" s="249">
        <v>0</v>
      </c>
      <c r="R256" s="97">
        <v>0</v>
      </c>
    </row>
    <row r="257" spans="2:18" x14ac:dyDescent="0.3">
      <c r="B257" t="s">
        <v>336</v>
      </c>
      <c r="J257" s="97">
        <f>J232</f>
        <v>-80.78</v>
      </c>
      <c r="K257" s="97">
        <f t="shared" si="153"/>
        <v>0</v>
      </c>
      <c r="L257" s="166"/>
      <c r="M257" s="166"/>
      <c r="N257" s="166"/>
      <c r="O257" s="166"/>
      <c r="P257" s="166"/>
      <c r="Q257" s="249">
        <v>0</v>
      </c>
      <c r="R257" s="97">
        <v>0</v>
      </c>
    </row>
    <row r="258" spans="2:18" x14ac:dyDescent="0.3">
      <c r="B258" t="s">
        <v>337</v>
      </c>
      <c r="J258" s="107">
        <f>-'Inputs and Drivers'!K$136</f>
        <v>-32.219122063217057</v>
      </c>
      <c r="K258" s="97">
        <f t="shared" si="153"/>
        <v>-32.833877599257598</v>
      </c>
      <c r="L258" s="166"/>
      <c r="M258" s="166"/>
      <c r="N258" s="166"/>
      <c r="O258" s="166"/>
      <c r="P258" s="166"/>
      <c r="Q258" s="250">
        <f>-'Inputs and Drivers'!L$136</f>
        <v>-32.833877599257598</v>
      </c>
      <c r="R258" s="107">
        <f>-'Inputs and Drivers'!M$136</f>
        <v>-33.901832040124035</v>
      </c>
    </row>
    <row r="259" spans="2:18" x14ac:dyDescent="0.3">
      <c r="B259" s="11" t="s">
        <v>338</v>
      </c>
      <c r="J259" s="98">
        <f ca="1">SUM(J252:J258)</f>
        <v>136.00233265726615</v>
      </c>
      <c r="K259" s="98">
        <f t="shared" ca="1" si="153"/>
        <v>28.534587389265951</v>
      </c>
      <c r="L259" s="168"/>
      <c r="M259" s="168"/>
      <c r="N259" s="168"/>
      <c r="O259" s="168"/>
      <c r="P259" s="168"/>
      <c r="Q259" s="252">
        <f ca="1">SUM(Q252:Q258)</f>
        <v>28.534587389265951</v>
      </c>
      <c r="R259" s="98">
        <f t="shared" ref="R259" ca="1" si="155">SUM(R252:R258)</f>
        <v>57.812473026046263</v>
      </c>
    </row>
    <row r="260" spans="2:18" x14ac:dyDescent="0.3">
      <c r="B260" s="11"/>
      <c r="J260" s="149"/>
      <c r="Q260" s="248"/>
    </row>
    <row r="261" spans="2:18" x14ac:dyDescent="0.3">
      <c r="B261" s="11" t="s">
        <v>339</v>
      </c>
      <c r="Q261" s="248"/>
    </row>
    <row r="262" spans="2:18" x14ac:dyDescent="0.3">
      <c r="B262" t="s">
        <v>340</v>
      </c>
      <c r="J262" s="97">
        <f>I57</f>
        <v>13.3</v>
      </c>
      <c r="K262" s="97">
        <f t="shared" ref="K262:K263" ca="1" si="156">Q262</f>
        <v>0</v>
      </c>
      <c r="L262" s="166"/>
      <c r="M262" s="166"/>
      <c r="N262" s="166"/>
      <c r="O262" s="166"/>
      <c r="P262" s="166"/>
      <c r="Q262" s="249">
        <f ca="1">J264</f>
        <v>0</v>
      </c>
      <c r="R262" s="97">
        <f t="shared" ref="R262" ca="1" si="157">K264</f>
        <v>0</v>
      </c>
    </row>
    <row r="263" spans="2:18" x14ac:dyDescent="0.3">
      <c r="B263" t="s">
        <v>341</v>
      </c>
      <c r="J263" s="97">
        <f ca="1">IF(J259&gt;0,IF(J259&gt;J262,-J262,-J259),IF(J259&gt;0,0,-J259))</f>
        <v>-13.3</v>
      </c>
      <c r="K263" s="97">
        <f t="shared" ca="1" si="156"/>
        <v>0</v>
      </c>
      <c r="L263" s="166"/>
      <c r="M263" s="166"/>
      <c r="N263" s="166"/>
      <c r="O263" s="166"/>
      <c r="P263" s="166"/>
      <c r="Q263" s="249">
        <f ca="1">IF(Q259&gt;0,IF(Q259&gt;Q262,-Q262,-Q259),IF(Q259&gt;0,0,-Q259))</f>
        <v>0</v>
      </c>
      <c r="R263" s="97">
        <f t="shared" ref="R263" ca="1" si="158">IF(R259&gt;0,IF(R259&gt;R262,-R262,-R259),IF(R259&gt;0,0,-R259))</f>
        <v>0</v>
      </c>
    </row>
    <row r="264" spans="2:18" x14ac:dyDescent="0.3">
      <c r="B264" s="11" t="s">
        <v>342</v>
      </c>
      <c r="J264" s="98">
        <f ca="1">SUM(J262:J263)</f>
        <v>0</v>
      </c>
      <c r="K264" s="98">
        <f t="shared" ref="K264" ca="1" si="159">Q264</f>
        <v>0</v>
      </c>
      <c r="L264" s="168"/>
      <c r="M264" s="168"/>
      <c r="N264" s="168"/>
      <c r="O264" s="168"/>
      <c r="P264" s="168"/>
      <c r="Q264" s="252">
        <f ca="1">SUM(Q262:Q263)</f>
        <v>0</v>
      </c>
      <c r="R264" s="98">
        <f t="shared" ref="R264" ca="1" si="160">SUM(R262:R263)</f>
        <v>0</v>
      </c>
    </row>
    <row r="265" spans="2:18" x14ac:dyDescent="0.3">
      <c r="B265" s="11"/>
      <c r="J265" s="149"/>
      <c r="L265" s="11"/>
      <c r="M265" s="11"/>
      <c r="N265" s="11"/>
      <c r="O265" s="11"/>
      <c r="P265" s="11"/>
      <c r="Q265" s="369"/>
      <c r="R265" s="149"/>
    </row>
    <row r="266" spans="2:18" x14ac:dyDescent="0.3">
      <c r="B266" t="s">
        <v>343</v>
      </c>
      <c r="E266" s="196" t="s">
        <v>344</v>
      </c>
      <c r="J266" s="205">
        <f>'Inputs and Drivers'!K118</f>
        <v>4.7199999999999999E-2</v>
      </c>
      <c r="K266" s="205">
        <f>Q266</f>
        <v>4.7199999999999999E-2</v>
      </c>
      <c r="L266" s="166"/>
      <c r="M266" s="166"/>
      <c r="N266" s="166"/>
      <c r="O266" s="166"/>
      <c r="P266" s="166"/>
      <c r="Q266" s="371">
        <f>'Inputs and Drivers'!L118</f>
        <v>4.7199999999999999E-2</v>
      </c>
      <c r="R266" s="205">
        <f>'Inputs and Drivers'!M118</f>
        <v>4.7199999999999999E-2</v>
      </c>
    </row>
    <row r="267" spans="2:18" x14ac:dyDescent="0.3">
      <c r="B267" s="11" t="s">
        <v>345</v>
      </c>
      <c r="E267" s="212">
        <v>1</v>
      </c>
      <c r="J267" s="98">
        <f ca="1">IF($E$267=1,-AVERAGE(J264,J262)*J266,J266*J264)</f>
        <v>-0.31387999999999999</v>
      </c>
      <c r="K267" s="98">
        <f ca="1">IF($E$267=1,-AVERAGE(K264,K262)*K266,K266*K264)</f>
        <v>0</v>
      </c>
      <c r="L267" s="168"/>
      <c r="M267" s="168"/>
      <c r="N267" s="168"/>
      <c r="O267" s="168"/>
      <c r="P267" s="168"/>
      <c r="Q267" s="252">
        <f ca="1">IF($E$267=1,AVERAGE(Q264,Q262)*Q266,Q266*Q264)</f>
        <v>0</v>
      </c>
      <c r="R267" s="98">
        <f ca="1">IF($E$267=1,AVERAGE(R264,R262)*R266,R266*R264)</f>
        <v>0</v>
      </c>
    </row>
    <row r="268" spans="2:18" x14ac:dyDescent="0.3">
      <c r="B268" s="11"/>
      <c r="J268" s="149"/>
      <c r="L268" s="166"/>
      <c r="M268" s="166"/>
      <c r="N268" s="166"/>
      <c r="O268" s="166"/>
      <c r="P268" s="166"/>
      <c r="Q268" s="369"/>
      <c r="R268" s="149"/>
    </row>
    <row r="269" spans="2:18" x14ac:dyDescent="0.3">
      <c r="B269" s="11" t="s">
        <v>346</v>
      </c>
      <c r="J269" s="103">
        <f ca="1">J259+J263</f>
        <v>122.70233265726615</v>
      </c>
      <c r="K269" s="103">
        <f ca="1">Q269</f>
        <v>28.534587389265951</v>
      </c>
      <c r="L269" s="170"/>
      <c r="M269" s="170"/>
      <c r="N269" s="170"/>
      <c r="O269" s="170"/>
      <c r="P269" s="170"/>
      <c r="Q269" s="257">
        <f ca="1">Q259+Q263</f>
        <v>28.534587389265951</v>
      </c>
      <c r="R269" s="103">
        <f ca="1">R259+R263</f>
        <v>57.812473026046263</v>
      </c>
    </row>
    <row r="270" spans="2:18" x14ac:dyDescent="0.3">
      <c r="B270" s="11"/>
      <c r="J270" s="149"/>
      <c r="Q270" s="248"/>
    </row>
    <row r="271" spans="2:18" x14ac:dyDescent="0.3">
      <c r="B271" s="11" t="s">
        <v>347</v>
      </c>
      <c r="Q271" s="248"/>
    </row>
    <row r="272" spans="2:18" x14ac:dyDescent="0.3">
      <c r="B272" t="s">
        <v>348</v>
      </c>
      <c r="J272" s="97" cm="1">
        <f t="array" ref="J272">_xlfn.ANCHORARRAY(I62)</f>
        <v>641.4</v>
      </c>
      <c r="K272" s="97">
        <f ca="1">Q272</f>
        <v>518.69766734273378</v>
      </c>
      <c r="L272" s="166"/>
      <c r="M272" s="166"/>
      <c r="N272" s="166"/>
      <c r="O272" s="166"/>
      <c r="P272" s="166"/>
      <c r="Q272" s="249">
        <f ca="1">J274</f>
        <v>518.69766734273378</v>
      </c>
      <c r="R272" s="97">
        <f ca="1">Q274</f>
        <v>490.16307995346784</v>
      </c>
    </row>
    <row r="273" spans="1:18" x14ac:dyDescent="0.3">
      <c r="B273" t="s">
        <v>349</v>
      </c>
      <c r="J273" s="97">
        <f ca="1">-J269</f>
        <v>-122.70233265726615</v>
      </c>
      <c r="K273" s="97">
        <f ca="1">SUM(Q273:R273)</f>
        <v>-518.69766734273378</v>
      </c>
      <c r="L273" s="166"/>
      <c r="M273" s="166"/>
      <c r="N273" s="166"/>
      <c r="O273" s="166"/>
      <c r="P273" s="166"/>
      <c r="Q273" s="249">
        <f ca="1">-Q269</f>
        <v>-28.534587389265951</v>
      </c>
      <c r="R273" s="97">
        <f ca="1">-Q274</f>
        <v>-490.16307995346784</v>
      </c>
    </row>
    <row r="274" spans="1:18" x14ac:dyDescent="0.3">
      <c r="B274" s="11" t="s">
        <v>342</v>
      </c>
      <c r="J274" s="98">
        <f ca="1">SUM(J272:J273)</f>
        <v>518.69766734273378</v>
      </c>
      <c r="K274" s="98">
        <f ca="1">SUM(K272:K273)</f>
        <v>0</v>
      </c>
      <c r="L274" s="168"/>
      <c r="M274" s="168"/>
      <c r="N274" s="168"/>
      <c r="O274" s="168"/>
      <c r="P274" s="168"/>
      <c r="Q274" s="252">
        <f ca="1">SUM(Q272:Q273)</f>
        <v>490.16307995346784</v>
      </c>
      <c r="R274" s="99">
        <f ca="1">SUM(R272:R273)</f>
        <v>0</v>
      </c>
    </row>
    <row r="275" spans="1:18" x14ac:dyDescent="0.3">
      <c r="B275" s="11"/>
      <c r="J275" s="11"/>
      <c r="L275" s="11"/>
      <c r="M275" s="11"/>
      <c r="N275" s="11"/>
      <c r="O275" s="11"/>
      <c r="P275" s="11"/>
      <c r="Q275" s="370"/>
    </row>
    <row r="276" spans="1:18" x14ac:dyDescent="0.3">
      <c r="B276" t="s">
        <v>350</v>
      </c>
      <c r="E276" s="196" t="s">
        <v>344</v>
      </c>
      <c r="J276" s="205">
        <f>'Inputs and Drivers'!K118</f>
        <v>4.7199999999999999E-2</v>
      </c>
      <c r="K276" s="205">
        <f>Q276</f>
        <v>4.7199999999999999E-2</v>
      </c>
      <c r="L276" s="166"/>
      <c r="M276" s="166"/>
      <c r="N276" s="166"/>
      <c r="O276" s="166"/>
      <c r="P276" s="166"/>
      <c r="Q276" s="371">
        <f>'Inputs and Drivers'!L118</f>
        <v>4.7199999999999999E-2</v>
      </c>
      <c r="R276" s="205">
        <f>'Inputs and Drivers'!M118</f>
        <v>4.7199999999999999E-2</v>
      </c>
    </row>
    <row r="277" spans="1:18" x14ac:dyDescent="0.3">
      <c r="B277" s="11" t="s">
        <v>351</v>
      </c>
      <c r="E277" s="212">
        <v>1</v>
      </c>
      <c r="J277" s="98">
        <f ca="1">IF($E$277=1,-J276*AVERAGE(J274,J272)*J249,J274*J276*J249)</f>
        <v>-27.378304949288516</v>
      </c>
      <c r="K277" s="98">
        <f ca="1">SUM(Q277:R277)</f>
        <v>-5.9522784090475902</v>
      </c>
      <c r="L277" s="168"/>
      <c r="M277" s="168"/>
      <c r="N277" s="168"/>
      <c r="O277" s="168"/>
      <c r="P277" s="168"/>
      <c r="Q277" s="252">
        <f ca="1">IF($E$277=1,-Q276*AVERAGE(Q274,Q272)*Q249,-Q274*Q276*Q249)</f>
        <v>-5.9522784090475902</v>
      </c>
      <c r="R277" s="379">
        <v>0</v>
      </c>
    </row>
    <row r="278" spans="1:18" x14ac:dyDescent="0.3">
      <c r="B278" s="11"/>
      <c r="J278" s="149"/>
      <c r="L278" s="166"/>
      <c r="M278" s="166"/>
      <c r="N278" s="166"/>
      <c r="O278" s="166"/>
      <c r="P278" s="166"/>
      <c r="Q278" s="369"/>
    </row>
    <row r="279" spans="1:18" x14ac:dyDescent="0.3">
      <c r="B279" s="11" t="s">
        <v>352</v>
      </c>
      <c r="J279" s="103">
        <f ca="1">SUM(J267,J277)</f>
        <v>-27.692184949288517</v>
      </c>
      <c r="K279" s="103">
        <f ca="1">SUM(Q279:R279)</f>
        <v>-1.4880696022618976</v>
      </c>
      <c r="L279" s="170"/>
      <c r="M279" s="170"/>
      <c r="N279" s="170"/>
      <c r="O279" s="170"/>
      <c r="P279" s="170"/>
      <c r="Q279" s="257">
        <f ca="1">SUM(Q267,Q277)*K249</f>
        <v>-1.4880696022618976</v>
      </c>
      <c r="R279" s="257">
        <f ca="1">SUM(R267,R277)*L249</f>
        <v>0</v>
      </c>
    </row>
    <row r="280" spans="1:18" x14ac:dyDescent="0.3">
      <c r="Q280" s="248"/>
    </row>
    <row r="281" spans="1:18" x14ac:dyDescent="0.3">
      <c r="B281" s="11" t="s">
        <v>247</v>
      </c>
      <c r="J281" s="103">
        <f ca="1">SUM(J273,J263)</f>
        <v>-136.00233265726615</v>
      </c>
      <c r="K281" s="103">
        <f ca="1">SUM(K273,K263)</f>
        <v>-518.69766734273378</v>
      </c>
      <c r="L281" s="170"/>
      <c r="M281" s="170"/>
      <c r="N281" s="170"/>
      <c r="O281" s="170"/>
      <c r="P281" s="170"/>
      <c r="Q281" s="257">
        <f ca="1">SUM(Q263,Q273)</f>
        <v>-28.534587389265951</v>
      </c>
      <c r="R281" s="103">
        <f ca="1">SUM(R263,R273)</f>
        <v>-490.16307995346784</v>
      </c>
    </row>
    <row r="282" spans="1:18" x14ac:dyDescent="0.3">
      <c r="B282" s="11"/>
      <c r="J282" s="149"/>
      <c r="K282" s="54"/>
      <c r="L282" s="54"/>
      <c r="M282" s="54"/>
      <c r="N282" s="54"/>
      <c r="O282" s="54"/>
      <c r="P282" s="54"/>
      <c r="Q282" s="378"/>
    </row>
    <row r="283" spans="1:18" x14ac:dyDescent="0.3">
      <c r="B283" t="s">
        <v>262</v>
      </c>
      <c r="J283" s="97">
        <f ca="1">J116</f>
        <v>32.219122063217029</v>
      </c>
      <c r="K283" s="97">
        <f ca="1">Q283</f>
        <v>32.833877599257598</v>
      </c>
      <c r="L283" s="166"/>
      <c r="M283" s="166"/>
      <c r="N283" s="166"/>
      <c r="O283" s="166"/>
      <c r="P283" s="166"/>
      <c r="Q283" s="249">
        <f ca="1">Q41</f>
        <v>32.833877599257598</v>
      </c>
      <c r="R283" s="97">
        <f ca="1">R116</f>
        <v>32.833877599257058</v>
      </c>
    </row>
    <row r="284" spans="1:18" x14ac:dyDescent="0.3">
      <c r="B284" t="s">
        <v>353</v>
      </c>
      <c r="J284" s="205">
        <f>'Inputs and Drivers'!H124</f>
        <v>5.1900000000000002E-2</v>
      </c>
      <c r="K284" s="205">
        <f>Q284</f>
        <v>4.7E-2</v>
      </c>
      <c r="L284" s="166"/>
      <c r="M284" s="166"/>
      <c r="N284" s="166"/>
      <c r="O284" s="166"/>
      <c r="P284" s="166"/>
      <c r="Q284" s="371">
        <f>'Inputs and Drivers'!I124</f>
        <v>4.7E-2</v>
      </c>
      <c r="R284" s="205">
        <f>'Inputs and Drivers'!L124</f>
        <v>3.6999999999999998E-2</v>
      </c>
    </row>
    <row r="285" spans="1:18" x14ac:dyDescent="0.3">
      <c r="B285" s="11" t="s">
        <v>203</v>
      </c>
      <c r="J285" s="103">
        <f ca="1">IF($E$277=1,AVERAGE(J283,J252)*J249*J284,J283*J284)</f>
        <v>3.5790012175404819</v>
      </c>
      <c r="K285" s="103">
        <f ca="1">IF($E$277=1,AVERAGE(K283,K252)*K249*K284,K283*K284)</f>
        <v>0.38218637301703845</v>
      </c>
      <c r="L285" s="170"/>
      <c r="M285" s="170"/>
      <c r="N285" s="170"/>
      <c r="O285" s="170"/>
      <c r="P285" s="170"/>
      <c r="Q285" s="257">
        <f ca="1">IF($E$277=1,AVERAGE(Q283,Q252)*Q249*Q284,Q283*Q284)</f>
        <v>0.38218637301703845</v>
      </c>
      <c r="R285" s="103">
        <v>0</v>
      </c>
    </row>
    <row r="287" spans="1:18" s="8" customFormat="1" ht="21" x14ac:dyDescent="0.4">
      <c r="A287" t="s">
        <v>3</v>
      </c>
      <c r="B287" s="9" t="s">
        <v>354</v>
      </c>
    </row>
    <row r="289" spans="2:18" ht="15" thickBot="1" x14ac:dyDescent="0.35">
      <c r="J289" s="80">
        <v>2025</v>
      </c>
      <c r="K289" s="80">
        <v>2026</v>
      </c>
      <c r="L289" s="80">
        <v>2027</v>
      </c>
      <c r="M289" s="80">
        <v>2028</v>
      </c>
      <c r="N289" s="80">
        <v>2029</v>
      </c>
      <c r="O289" s="80">
        <v>2030</v>
      </c>
      <c r="P289" s="80">
        <v>2031</v>
      </c>
      <c r="Q289" s="238">
        <v>2026</v>
      </c>
      <c r="R289" s="238">
        <v>2026</v>
      </c>
    </row>
    <row r="290" spans="2:18" x14ac:dyDescent="0.3">
      <c r="J290" s="95"/>
      <c r="K290" s="95"/>
      <c r="L290" s="95"/>
      <c r="M290" s="95"/>
      <c r="N290" s="95"/>
      <c r="O290" s="95"/>
      <c r="P290" s="95"/>
    </row>
    <row r="291" spans="2:18" x14ac:dyDescent="0.3">
      <c r="J291" s="95"/>
      <c r="K291" s="211">
        <f>'Transaction Details'!P28</f>
        <v>0.75</v>
      </c>
      <c r="L291" s="201">
        <v>1</v>
      </c>
      <c r="M291" s="201">
        <v>1</v>
      </c>
      <c r="N291" s="201">
        <v>1</v>
      </c>
      <c r="O291" s="201">
        <v>1</v>
      </c>
      <c r="P291" s="201">
        <v>1</v>
      </c>
      <c r="Q291" s="368">
        <f>$Q$7</f>
        <v>0.25</v>
      </c>
      <c r="R291" s="131">
        <f>$R$7</f>
        <v>0.75</v>
      </c>
    </row>
    <row r="292" spans="2:18" x14ac:dyDescent="0.3">
      <c r="B292" s="11" t="s">
        <v>125</v>
      </c>
      <c r="Q292" s="248"/>
    </row>
    <row r="293" spans="2:18" x14ac:dyDescent="0.3">
      <c r="B293" t="s">
        <v>331</v>
      </c>
      <c r="J293" s="210"/>
      <c r="K293" s="97">
        <f ca="1">R293</f>
        <v>32.833877599257598</v>
      </c>
      <c r="L293" s="97">
        <f ca="1">L114</f>
        <v>32.833877599257235</v>
      </c>
      <c r="M293" s="97">
        <f ca="1">M114</f>
        <v>33.901832040124006</v>
      </c>
      <c r="N293" s="97">
        <f ca="1">N114</f>
        <v>35.233565576390717</v>
      </c>
      <c r="O293" s="97">
        <f ca="1">O114</f>
        <v>36.564883803777107</v>
      </c>
      <c r="P293" s="97">
        <f ca="1">P114</f>
        <v>37.884045519729952</v>
      </c>
      <c r="Q293" s="347">
        <v>0</v>
      </c>
      <c r="R293" s="97">
        <f ca="1">Q116</f>
        <v>32.833877599257598</v>
      </c>
    </row>
    <row r="294" spans="2:18" x14ac:dyDescent="0.3">
      <c r="B294" t="s">
        <v>332</v>
      </c>
      <c r="J294" s="97"/>
      <c r="K294" s="97">
        <f t="shared" ref="K294:K318" ca="1" si="161">R294</f>
        <v>98.225425059284191</v>
      </c>
      <c r="L294" s="97">
        <f ca="1">L87</f>
        <v>147.88851841617517</v>
      </c>
      <c r="M294" s="97">
        <f ca="1">M87</f>
        <v>167.52426766314073</v>
      </c>
      <c r="N294" s="97">
        <f ca="1">N87</f>
        <v>191.81833784499204</v>
      </c>
      <c r="O294" s="97">
        <f ca="1">O87</f>
        <v>221.80189462504265</v>
      </c>
      <c r="P294" s="97">
        <f ca="1">P87</f>
        <v>252.19952312930107</v>
      </c>
      <c r="Q294" s="347">
        <v>0</v>
      </c>
      <c r="R294" s="97">
        <f ca="1">R87</f>
        <v>98.225425059284191</v>
      </c>
    </row>
    <row r="295" spans="2:18" x14ac:dyDescent="0.3">
      <c r="B295" t="s">
        <v>333</v>
      </c>
      <c r="E295" s="196"/>
      <c r="G295" s="196"/>
      <c r="J295" s="97"/>
      <c r="K295" s="97">
        <f t="shared" si="161"/>
        <v>-39.344997592371485</v>
      </c>
      <c r="L295" s="97">
        <f>L93</f>
        <v>-59.040888021288154</v>
      </c>
      <c r="M295" s="97">
        <f>M93</f>
        <v>-66.666128915173871</v>
      </c>
      <c r="N295" s="97">
        <f>N93</f>
        <v>-74.958742458651514</v>
      </c>
      <c r="O295" s="97">
        <f>O93</f>
        <v>-83.942337769624473</v>
      </c>
      <c r="P295" s="97">
        <f>P93</f>
        <v>-93.636182117085667</v>
      </c>
      <c r="Q295" s="347">
        <v>0</v>
      </c>
      <c r="R295" s="97">
        <f>R93</f>
        <v>-39.344997592371485</v>
      </c>
    </row>
    <row r="296" spans="2:18" x14ac:dyDescent="0.3">
      <c r="B296" t="s">
        <v>334</v>
      </c>
      <c r="E296" s="197"/>
      <c r="G296" s="197"/>
      <c r="J296" s="97"/>
      <c r="K296" s="97">
        <f t="shared" si="161"/>
        <v>0</v>
      </c>
      <c r="L296" s="97">
        <f t="shared" ref="L296:P296" si="162">L351</f>
        <v>-6.84</v>
      </c>
      <c r="M296" s="97">
        <f t="shared" ca="1" si="162"/>
        <v>-6.7715999999999994</v>
      </c>
      <c r="N296" s="97">
        <f t="shared" ca="1" si="162"/>
        <v>-6.5410094568368349</v>
      </c>
      <c r="O296" s="97">
        <f t="shared" ca="1" si="162"/>
        <v>-5.9306630237578792</v>
      </c>
      <c r="P296" s="97">
        <f t="shared" ca="1" si="162"/>
        <v>-5.2183077329417635</v>
      </c>
      <c r="Q296" s="347">
        <v>0</v>
      </c>
      <c r="R296" s="97">
        <v>0</v>
      </c>
    </row>
    <row r="297" spans="2:18" x14ac:dyDescent="0.3">
      <c r="B297" t="s">
        <v>335</v>
      </c>
      <c r="J297" s="97"/>
      <c r="K297" s="97">
        <f t="shared" si="161"/>
        <v>0</v>
      </c>
      <c r="L297" s="97">
        <v>0</v>
      </c>
      <c r="M297" s="97">
        <v>0</v>
      </c>
      <c r="N297" s="97">
        <v>0</v>
      </c>
      <c r="O297" s="97">
        <v>0</v>
      </c>
      <c r="P297" s="97">
        <v>0</v>
      </c>
      <c r="Q297" s="347">
        <v>0</v>
      </c>
      <c r="R297" s="97">
        <v>0</v>
      </c>
    </row>
    <row r="298" spans="2:18" x14ac:dyDescent="0.3">
      <c r="B298" t="s">
        <v>336</v>
      </c>
      <c r="J298" s="97"/>
      <c r="K298" s="97">
        <f t="shared" si="161"/>
        <v>0</v>
      </c>
      <c r="L298" s="97">
        <v>0</v>
      </c>
      <c r="M298" s="97">
        <v>0</v>
      </c>
      <c r="N298" s="97">
        <v>0</v>
      </c>
      <c r="O298" s="97">
        <v>0</v>
      </c>
      <c r="P298" s="97">
        <v>0</v>
      </c>
      <c r="Q298" s="347">
        <v>0</v>
      </c>
      <c r="R298" s="97">
        <v>0</v>
      </c>
    </row>
    <row r="299" spans="2:18" x14ac:dyDescent="0.3">
      <c r="B299" t="s">
        <v>337</v>
      </c>
      <c r="K299" s="107">
        <f t="shared" si="161"/>
        <v>-32.833877599257598</v>
      </c>
      <c r="L299" s="107">
        <f>-'Inputs and Drivers'!M136</f>
        <v>-33.901832040124035</v>
      </c>
      <c r="M299" s="107">
        <f>-'Inputs and Drivers'!N136</f>
        <v>-35.233565576390717</v>
      </c>
      <c r="N299" s="107">
        <f>-'Inputs and Drivers'!O136</f>
        <v>-36.564883803777114</v>
      </c>
      <c r="O299" s="107">
        <f>-'Inputs and Drivers'!P136</f>
        <v>-37.884045519729966</v>
      </c>
      <c r="P299" s="107">
        <f>-'Inputs and Drivers'!Q136</f>
        <v>-39.178798817226244</v>
      </c>
      <c r="Q299" s="347">
        <v>0</v>
      </c>
      <c r="R299" s="107">
        <f>-'Inputs and Drivers'!L136</f>
        <v>-32.833877599257598</v>
      </c>
    </row>
    <row r="300" spans="2:18" x14ac:dyDescent="0.3">
      <c r="B300" s="11" t="s">
        <v>355</v>
      </c>
      <c r="K300" s="98">
        <f ca="1">R300</f>
        <v>58.8804274669127</v>
      </c>
      <c r="L300" s="99">
        <f t="shared" ref="L300:Q300" ca="1" si="163">SUM(L293:L299)</f>
        <v>80.939675954020231</v>
      </c>
      <c r="M300" s="99">
        <f t="shared" ca="1" si="163"/>
        <v>92.754805211700145</v>
      </c>
      <c r="N300" s="99">
        <f t="shared" ca="1" si="163"/>
        <v>108.98726770211729</v>
      </c>
      <c r="O300" s="99">
        <f t="shared" ca="1" si="163"/>
        <v>130.60973211570743</v>
      </c>
      <c r="P300" s="99">
        <f t="shared" ca="1" si="163"/>
        <v>152.05027998177735</v>
      </c>
      <c r="Q300" s="372">
        <f t="shared" si="163"/>
        <v>0</v>
      </c>
      <c r="R300" s="98">
        <f ca="1">SUM(R293:R299)</f>
        <v>58.8804274669127</v>
      </c>
    </row>
    <row r="301" spans="2:18" x14ac:dyDescent="0.3">
      <c r="K301" s="149"/>
      <c r="L301" s="97"/>
      <c r="M301" s="97"/>
      <c r="N301" s="97"/>
      <c r="O301" s="97"/>
      <c r="P301" s="97"/>
      <c r="Q301" s="369"/>
      <c r="R301" s="149"/>
    </row>
    <row r="302" spans="2:18" x14ac:dyDescent="0.3">
      <c r="B302" s="11" t="s">
        <v>356</v>
      </c>
      <c r="K302" s="97"/>
      <c r="L302" s="97"/>
      <c r="M302" s="97"/>
      <c r="N302" s="97"/>
      <c r="O302" s="97"/>
      <c r="P302" s="97"/>
      <c r="Q302" s="249"/>
      <c r="R302" s="97"/>
    </row>
    <row r="303" spans="2:18" x14ac:dyDescent="0.3">
      <c r="B303" t="s">
        <v>141</v>
      </c>
      <c r="K303" s="107">
        <f t="shared" si="161"/>
        <v>200</v>
      </c>
      <c r="L303" s="97">
        <f ca="1">R305</f>
        <v>141.11957253308731</v>
      </c>
      <c r="M303" s="97">
        <f t="shared" ref="M303:O303" ca="1" si="164">L305</f>
        <v>60.179896579067076</v>
      </c>
      <c r="N303" s="97">
        <f t="shared" ca="1" si="164"/>
        <v>0</v>
      </c>
      <c r="O303" s="97">
        <f t="shared" ca="1" si="164"/>
        <v>0</v>
      </c>
      <c r="P303" s="97">
        <f ca="1">O305</f>
        <v>0</v>
      </c>
      <c r="Q303" s="347">
        <v>0</v>
      </c>
      <c r="R303" s="107">
        <f>'Transaction Details'!F9</f>
        <v>200</v>
      </c>
    </row>
    <row r="304" spans="2:18" x14ac:dyDescent="0.3">
      <c r="B304" t="s">
        <v>357</v>
      </c>
      <c r="K304" s="335">
        <f t="shared" ca="1" si="161"/>
        <v>-58.8804274669127</v>
      </c>
      <c r="L304" s="335">
        <f ca="1">IF(L303&gt;0,IF(L300&gt;0,IF(L303&gt;L300,-L300,-L303),-L300),IF(L300&gt;0,0,-L300))</f>
        <v>-80.939675954020231</v>
      </c>
      <c r="M304" s="335">
        <f ca="1">IF(M303&gt;0,IF(M300&gt;0,IF(M303&gt;M300,-M300,-M303),-M300),IF(M300&gt;0,0,-M300))</f>
        <v>-60.179896579067076</v>
      </c>
      <c r="N304" s="335">
        <f t="shared" ref="N304:P304" ca="1" si="165">IF(N303&gt;0,IF(N300&gt;0,IF(N303&gt;N300,-N300,-N303),-N300),IF(N300&gt;0,0,-N300))</f>
        <v>0</v>
      </c>
      <c r="O304" s="335">
        <f t="shared" ca="1" si="165"/>
        <v>0</v>
      </c>
      <c r="P304" s="335">
        <f t="shared" ca="1" si="165"/>
        <v>0</v>
      </c>
      <c r="Q304" s="347">
        <v>0</v>
      </c>
      <c r="R304" s="335">
        <f ca="1">IF(R303-R300&gt;'Transaction Details'!E44,'Transaction Details'!$E$44-Model!R303,IF(R303&gt;0,IF(R300&gt;0,IF(R303&gt;R300,-R300,-R303),-R300),IF(R300&gt;0,0,-R300)))</f>
        <v>-58.8804274669127</v>
      </c>
    </row>
    <row r="305" spans="2:18" x14ac:dyDescent="0.3">
      <c r="B305" s="11" t="s">
        <v>143</v>
      </c>
      <c r="K305" s="98">
        <f t="shared" ca="1" si="161"/>
        <v>141.11957253308731</v>
      </c>
      <c r="L305" s="99">
        <f ca="1">SUM(L303:L304)</f>
        <v>60.179896579067076</v>
      </c>
      <c r="M305" s="99">
        <f t="shared" ref="M305:Q305" ca="1" si="166">SUM(M303:M304)</f>
        <v>0</v>
      </c>
      <c r="N305" s="99">
        <f t="shared" ca="1" si="166"/>
        <v>0</v>
      </c>
      <c r="O305" s="99">
        <f t="shared" ca="1" si="166"/>
        <v>0</v>
      </c>
      <c r="P305" s="99">
        <f t="shared" ca="1" si="166"/>
        <v>0</v>
      </c>
      <c r="Q305" s="372">
        <f t="shared" si="166"/>
        <v>0</v>
      </c>
      <c r="R305" s="98">
        <f ca="1">SUM(R303:R304)</f>
        <v>141.11957253308731</v>
      </c>
    </row>
    <row r="306" spans="2:18" x14ac:dyDescent="0.3">
      <c r="B306" s="11"/>
      <c r="K306" s="97">
        <f t="shared" si="161"/>
        <v>0</v>
      </c>
      <c r="L306" s="97"/>
      <c r="M306" s="97"/>
      <c r="N306" s="97"/>
      <c r="O306" s="97"/>
      <c r="P306" s="97"/>
      <c r="Q306" s="249"/>
      <c r="R306" s="97"/>
    </row>
    <row r="307" spans="2:18" x14ac:dyDescent="0.3">
      <c r="B307" t="s">
        <v>144</v>
      </c>
      <c r="E307" s="196" t="s">
        <v>344</v>
      </c>
      <c r="K307" s="205">
        <f t="shared" si="161"/>
        <v>5.5E-2</v>
      </c>
      <c r="L307" s="205">
        <f>AVERAGE('Inputs and Drivers'!M127:M128)</f>
        <v>5.5E-2</v>
      </c>
      <c r="M307" s="205">
        <f>AVERAGE('Inputs and Drivers'!N127:N128)</f>
        <v>5.7499999999999996E-2</v>
      </c>
      <c r="N307" s="205">
        <f>AVERAGE('Inputs and Drivers'!O127:O128)</f>
        <v>0.06</v>
      </c>
      <c r="O307" s="205">
        <f>AVERAGE('Inputs and Drivers'!P127:P128)</f>
        <v>0.06</v>
      </c>
      <c r="P307" s="205">
        <f>AVERAGE('Inputs and Drivers'!Q127:Q128)</f>
        <v>6.25E-2</v>
      </c>
      <c r="Q307" s="347">
        <v>0</v>
      </c>
      <c r="R307" s="205">
        <f>AVERAGE('Inputs and Drivers'!L127:L128)</f>
        <v>5.5E-2</v>
      </c>
    </row>
    <row r="308" spans="2:18" x14ac:dyDescent="0.3">
      <c r="B308" s="11" t="s">
        <v>76</v>
      </c>
      <c r="C308" s="11"/>
      <c r="D308" s="11"/>
      <c r="E308" s="212">
        <v>1</v>
      </c>
      <c r="F308" s="11"/>
      <c r="G308" s="11"/>
      <c r="H308" s="11"/>
      <c r="I308" s="390"/>
      <c r="J308" s="11"/>
      <c r="K308" s="98">
        <f ca="1">R308</f>
        <v>-7.0355911834949252</v>
      </c>
      <c r="L308" s="98">
        <f t="shared" ref="L308:P308" ca="1" si="167">IF($E$308=1,-AVERAGE(L305,L303)*L307*L291,-L307*L305*L291)</f>
        <v>-5.5357354005842456</v>
      </c>
      <c r="M308" s="98">
        <f t="shared" ca="1" si="167"/>
        <v>-1.7301720266481784</v>
      </c>
      <c r="N308" s="98">
        <f t="shared" ca="1" si="167"/>
        <v>0</v>
      </c>
      <c r="O308" s="98">
        <f t="shared" ca="1" si="167"/>
        <v>0</v>
      </c>
      <c r="P308" s="98">
        <f t="shared" ca="1" si="167"/>
        <v>0</v>
      </c>
      <c r="Q308" s="252">
        <v>0</v>
      </c>
      <c r="R308" s="98">
        <f ca="1">IF($E$308=1,-AVERAGE(R305,R303)*R307*R291,-R307*R305*R291)</f>
        <v>-7.0355911834949252</v>
      </c>
    </row>
    <row r="309" spans="2:18" x14ac:dyDescent="0.3">
      <c r="K309" s="97"/>
      <c r="L309" s="97"/>
      <c r="M309" s="97"/>
      <c r="N309" s="97"/>
      <c r="O309" s="97"/>
      <c r="P309" s="97"/>
      <c r="Q309" s="249"/>
      <c r="R309" s="97"/>
    </row>
    <row r="310" spans="2:18" x14ac:dyDescent="0.3">
      <c r="B310" s="11" t="s">
        <v>358</v>
      </c>
      <c r="K310" s="97"/>
      <c r="L310" s="97"/>
      <c r="M310" s="97"/>
      <c r="N310" s="97"/>
      <c r="O310" s="97"/>
      <c r="P310" s="97"/>
      <c r="Q310" s="249"/>
      <c r="R310" s="97"/>
    </row>
    <row r="311" spans="2:18" x14ac:dyDescent="0.3">
      <c r="B311" t="s">
        <v>359</v>
      </c>
      <c r="K311" s="97">
        <f t="shared" si="161"/>
        <v>125</v>
      </c>
      <c r="L311" s="97">
        <f ca="1">R313</f>
        <v>183.88042746691269</v>
      </c>
      <c r="M311" s="97">
        <f t="shared" ref="M311:O311" ca="1" si="168">L313</f>
        <v>264.82010342093292</v>
      </c>
      <c r="N311" s="97">
        <f t="shared" ca="1" si="168"/>
        <v>325</v>
      </c>
      <c r="O311" s="97">
        <f t="shared" ca="1" si="168"/>
        <v>325</v>
      </c>
      <c r="P311" s="97">
        <f ca="1">O313</f>
        <v>325</v>
      </c>
      <c r="Q311" s="347">
        <v>0</v>
      </c>
      <c r="R311" s="97">
        <f>325-Model!R303</f>
        <v>125</v>
      </c>
    </row>
    <row r="312" spans="2:18" x14ac:dyDescent="0.3">
      <c r="B312" t="s">
        <v>360</v>
      </c>
      <c r="K312" s="97">
        <f t="shared" ca="1" si="161"/>
        <v>58.8804274669127</v>
      </c>
      <c r="L312" s="97">
        <f t="shared" ref="L312:P312" ca="1" si="169">-L304</f>
        <v>80.939675954020231</v>
      </c>
      <c r="M312" s="97">
        <f t="shared" ca="1" si="169"/>
        <v>60.179896579067076</v>
      </c>
      <c r="N312" s="97">
        <f t="shared" ca="1" si="169"/>
        <v>0</v>
      </c>
      <c r="O312" s="97">
        <f t="shared" ca="1" si="169"/>
        <v>0</v>
      </c>
      <c r="P312" s="97">
        <f t="shared" ca="1" si="169"/>
        <v>0</v>
      </c>
      <c r="Q312" s="347">
        <v>0</v>
      </c>
      <c r="R312" s="97">
        <f ca="1">-R304</f>
        <v>58.8804274669127</v>
      </c>
    </row>
    <row r="313" spans="2:18" x14ac:dyDescent="0.3">
      <c r="B313" s="11" t="s">
        <v>361</v>
      </c>
      <c r="K313" s="98">
        <f t="shared" ca="1" si="161"/>
        <v>183.88042746691269</v>
      </c>
      <c r="L313" s="99">
        <f t="shared" ref="L313:Q313" ca="1" si="170">SUM(L311:L312)</f>
        <v>264.82010342093292</v>
      </c>
      <c r="M313" s="99">
        <f t="shared" ca="1" si="170"/>
        <v>325</v>
      </c>
      <c r="N313" s="99">
        <f t="shared" ca="1" si="170"/>
        <v>325</v>
      </c>
      <c r="O313" s="99">
        <f t="shared" ca="1" si="170"/>
        <v>325</v>
      </c>
      <c r="P313" s="99">
        <f t="shared" ca="1" si="170"/>
        <v>325</v>
      </c>
      <c r="Q313" s="372">
        <f t="shared" si="170"/>
        <v>0</v>
      </c>
      <c r="R313" s="98">
        <f ca="1">SUM(R311:R312)</f>
        <v>183.88042746691269</v>
      </c>
    </row>
    <row r="314" spans="2:18" x14ac:dyDescent="0.3">
      <c r="K314" s="97"/>
      <c r="L314" s="97"/>
      <c r="M314" s="97"/>
      <c r="N314" s="97"/>
      <c r="O314" s="97"/>
      <c r="P314" s="97"/>
      <c r="Q314" s="249"/>
      <c r="R314" s="97"/>
    </row>
    <row r="315" spans="2:18" x14ac:dyDescent="0.3">
      <c r="B315" t="s">
        <v>362</v>
      </c>
      <c r="K315" s="205">
        <f t="shared" si="161"/>
        <v>8.9999999999999993E-3</v>
      </c>
      <c r="L315" s="205">
        <f>R315</f>
        <v>8.9999999999999993E-3</v>
      </c>
      <c r="M315" s="205">
        <f t="shared" ref="M315:O315" si="171">L315</f>
        <v>8.9999999999999993E-3</v>
      </c>
      <c r="N315" s="205">
        <f t="shared" si="171"/>
        <v>8.9999999999999993E-3</v>
      </c>
      <c r="O315" s="205">
        <f t="shared" si="171"/>
        <v>8.9999999999999993E-3</v>
      </c>
      <c r="P315" s="205">
        <f>O315</f>
        <v>8.9999999999999993E-3</v>
      </c>
      <c r="Q315" s="347">
        <v>0</v>
      </c>
      <c r="R315" s="205">
        <f>'Transaction Details'!H44</f>
        <v>8.9999999999999993E-3</v>
      </c>
    </row>
    <row r="316" spans="2:18" x14ac:dyDescent="0.3">
      <c r="B316" t="s">
        <v>363</v>
      </c>
      <c r="K316" s="97">
        <f t="shared" ca="1" si="161"/>
        <v>-1.0424714427008301</v>
      </c>
      <c r="L316" s="97">
        <f t="shared" ref="L316:P316" ca="1" si="172">IF($E$308=1,L315*AVERAGE(L313,L311)*L291*(-1),-L315*L313*L291)</f>
        <v>-2.0191523889953049</v>
      </c>
      <c r="M316" s="97">
        <f t="shared" ca="1" si="172"/>
        <v>-2.6541904653941981</v>
      </c>
      <c r="N316" s="97">
        <f t="shared" ca="1" si="172"/>
        <v>-2.9249999999999998</v>
      </c>
      <c r="O316" s="97">
        <f t="shared" ca="1" si="172"/>
        <v>-2.9249999999999998</v>
      </c>
      <c r="P316" s="97">
        <f t="shared" ca="1" si="172"/>
        <v>-2.9249999999999998</v>
      </c>
      <c r="Q316" s="347">
        <v>0</v>
      </c>
      <c r="R316" s="97">
        <f ca="1">IF($E$308=1,R315*AVERAGE(R313,R311)*R291*(-1),-R315*R313*R291)</f>
        <v>-1.0424714427008301</v>
      </c>
    </row>
    <row r="317" spans="2:18" x14ac:dyDescent="0.3">
      <c r="K317" s="97"/>
      <c r="L317" s="97"/>
      <c r="M317" s="97"/>
      <c r="N317" s="97"/>
      <c r="O317" s="97"/>
      <c r="P317" s="97"/>
      <c r="Q317" s="249"/>
      <c r="R317" s="97"/>
    </row>
    <row r="318" spans="2:18" x14ac:dyDescent="0.3">
      <c r="B318" s="11" t="s">
        <v>364</v>
      </c>
      <c r="K318" s="103">
        <f t="shared" ca="1" si="161"/>
        <v>0</v>
      </c>
      <c r="L318" s="103">
        <f ca="1">IF(L303-L300&lt;'Transaction Details'!$E$44,L300+L304,Model!L300-Model!L304)</f>
        <v>0</v>
      </c>
      <c r="M318" s="103">
        <f ca="1">IF(M303-M300&lt;'Transaction Details'!$E$44,M300+M304,Model!M300-Model!M304)</f>
        <v>32.574908632633068</v>
      </c>
      <c r="N318" s="103">
        <f ca="1">IF(N303-N300&lt;'Transaction Details'!$E$44,N300+N304,Model!N300-Model!N304)</f>
        <v>108.98726770211729</v>
      </c>
      <c r="O318" s="103">
        <f ca="1">IF(O303-O300&lt;'Transaction Details'!$E$44,O300+O304,Model!O300-Model!O304)</f>
        <v>130.60973211570743</v>
      </c>
      <c r="P318" s="103">
        <f ca="1">IF(P303-P300&lt;'Transaction Details'!$E$44,P300+P304,Model!P300-Model!P304)</f>
        <v>152.05027998177735</v>
      </c>
      <c r="Q318" s="257">
        <f>IF(Q303-Q300&lt;'Transaction Details'!$E$44,Q300+Q304,Model!Q300-Model!Q304)</f>
        <v>0</v>
      </c>
      <c r="R318" s="103">
        <f ca="1">IF(R303-R300&lt;'Transaction Details'!$E$44,R300+R304,Model!R300-Model!R304)</f>
        <v>0</v>
      </c>
    </row>
    <row r="319" spans="2:18" x14ac:dyDescent="0.3">
      <c r="K319" s="97"/>
      <c r="L319" s="97"/>
      <c r="M319" s="97"/>
      <c r="N319" s="97"/>
      <c r="O319" s="97"/>
      <c r="P319" s="97"/>
    </row>
    <row r="321" spans="1:18" s="8" customFormat="1" ht="21" x14ac:dyDescent="0.4">
      <c r="A321" t="s">
        <v>3</v>
      </c>
      <c r="B321" s="9" t="s">
        <v>365</v>
      </c>
    </row>
    <row r="323" spans="1:18" ht="15" thickBot="1" x14ac:dyDescent="0.35">
      <c r="J323" s="80">
        <v>2025</v>
      </c>
      <c r="K323" s="80">
        <v>2026</v>
      </c>
      <c r="L323" s="80">
        <v>2027</v>
      </c>
      <c r="M323" s="80">
        <v>2028</v>
      </c>
      <c r="N323" s="80">
        <v>2029</v>
      </c>
      <c r="O323" s="80">
        <v>2030</v>
      </c>
      <c r="P323" s="80">
        <v>2031</v>
      </c>
      <c r="Q323" s="238">
        <v>2026</v>
      </c>
      <c r="R323" s="238">
        <v>2026</v>
      </c>
    </row>
    <row r="325" spans="1:18" x14ac:dyDescent="0.3">
      <c r="B325" s="11" t="s">
        <v>366</v>
      </c>
      <c r="K325" s="211">
        <f>'Transaction Details'!P28</f>
        <v>0.75</v>
      </c>
      <c r="L325" s="201">
        <v>1</v>
      </c>
      <c r="M325" s="201">
        <v>1</v>
      </c>
      <c r="N325" s="201">
        <v>1</v>
      </c>
      <c r="O325" s="201">
        <v>1</v>
      </c>
      <c r="P325" s="201">
        <v>1</v>
      </c>
      <c r="Q325" s="368">
        <f>$Q$7</f>
        <v>0.25</v>
      </c>
      <c r="R325" s="131">
        <f>$R$7</f>
        <v>0.75</v>
      </c>
    </row>
    <row r="326" spans="1:18" x14ac:dyDescent="0.3">
      <c r="B326" s="11"/>
      <c r="K326" s="211"/>
      <c r="L326" s="201"/>
      <c r="M326" s="201"/>
      <c r="N326" s="201"/>
      <c r="O326" s="201"/>
      <c r="P326" s="201"/>
      <c r="Q326" s="248"/>
    </row>
    <row r="327" spans="1:18" x14ac:dyDescent="0.3">
      <c r="B327" s="206" t="s">
        <v>367</v>
      </c>
      <c r="K327" s="97">
        <f ca="1">R327</f>
        <v>0</v>
      </c>
      <c r="L327" s="97">
        <f t="shared" ref="L327:P327" ca="1" si="173">L318</f>
        <v>0</v>
      </c>
      <c r="M327" s="97">
        <f t="shared" ca="1" si="173"/>
        <v>32.574908632633068</v>
      </c>
      <c r="N327" s="97">
        <f t="shared" ca="1" si="173"/>
        <v>108.98726770211729</v>
      </c>
      <c r="O327" s="97">
        <f t="shared" ca="1" si="173"/>
        <v>130.60973211570743</v>
      </c>
      <c r="P327" s="97">
        <f t="shared" ca="1" si="173"/>
        <v>152.05027998177735</v>
      </c>
      <c r="Q327" s="347">
        <v>0</v>
      </c>
      <c r="R327" s="97">
        <f ca="1">R318</f>
        <v>0</v>
      </c>
    </row>
    <row r="328" spans="1:18" x14ac:dyDescent="0.3">
      <c r="B328" s="206" t="s">
        <v>368</v>
      </c>
      <c r="K328" s="97">
        <f t="shared" ref="K328:K330" ca="1" si="174">R328</f>
        <v>0</v>
      </c>
      <c r="L328" s="97">
        <f t="shared" ref="L328:P328" ca="1" si="175">MAX(0,SUM(L327:L327))</f>
        <v>0</v>
      </c>
      <c r="M328" s="97">
        <f t="shared" ca="1" si="175"/>
        <v>32.574908632633068</v>
      </c>
      <c r="N328" s="97">
        <f t="shared" ca="1" si="175"/>
        <v>108.98726770211729</v>
      </c>
      <c r="O328" s="97">
        <f t="shared" ca="1" si="175"/>
        <v>130.60973211570743</v>
      </c>
      <c r="P328" s="97">
        <f t="shared" ca="1" si="175"/>
        <v>152.05027998177735</v>
      </c>
      <c r="Q328" s="347">
        <v>0</v>
      </c>
      <c r="R328" s="97">
        <f ca="1">MAX(0,SUM(R327:R327))</f>
        <v>0</v>
      </c>
    </row>
    <row r="329" spans="1:18" x14ac:dyDescent="0.3">
      <c r="B329" s="206" t="s">
        <v>369</v>
      </c>
      <c r="K329" s="97">
        <f t="shared" ca="1" si="174"/>
        <v>0</v>
      </c>
      <c r="L329" s="97">
        <f t="shared" ref="L329:P329" ca="1" si="176">L328/2</f>
        <v>0</v>
      </c>
      <c r="M329" s="97">
        <f t="shared" ca="1" si="176"/>
        <v>16.287454316316534</v>
      </c>
      <c r="N329" s="97">
        <f t="shared" ca="1" si="176"/>
        <v>54.493633851058647</v>
      </c>
      <c r="O329" s="97">
        <f t="shared" ca="1" si="176"/>
        <v>65.304866057853715</v>
      </c>
      <c r="P329" s="97">
        <f t="shared" ca="1" si="176"/>
        <v>76.025139990888675</v>
      </c>
      <c r="Q329" s="347">
        <v>0</v>
      </c>
      <c r="R329" s="97">
        <f ca="1">R328/2</f>
        <v>0</v>
      </c>
    </row>
    <row r="330" spans="1:18" x14ac:dyDescent="0.3">
      <c r="B330" s="206" t="s">
        <v>370</v>
      </c>
      <c r="K330" s="97">
        <f t="shared" ca="1" si="174"/>
        <v>0</v>
      </c>
      <c r="L330" s="97">
        <f t="shared" ref="L330:P330" ca="1" si="177">L328/2</f>
        <v>0</v>
      </c>
      <c r="M330" s="97">
        <f t="shared" ca="1" si="177"/>
        <v>16.287454316316534</v>
      </c>
      <c r="N330" s="97">
        <f t="shared" ca="1" si="177"/>
        <v>54.493633851058647</v>
      </c>
      <c r="O330" s="97">
        <f t="shared" ca="1" si="177"/>
        <v>65.304866057853715</v>
      </c>
      <c r="P330" s="97">
        <f t="shared" ca="1" si="177"/>
        <v>76.025139990888675</v>
      </c>
      <c r="Q330" s="347">
        <v>0</v>
      </c>
      <c r="R330" s="97">
        <f ca="1">R328/2</f>
        <v>0</v>
      </c>
    </row>
    <row r="331" spans="1:18" x14ac:dyDescent="0.3">
      <c r="B331" s="206"/>
      <c r="K331" s="97"/>
      <c r="L331" s="97"/>
      <c r="M331" s="97"/>
      <c r="N331" s="97"/>
      <c r="O331" s="97"/>
      <c r="P331" s="97"/>
      <c r="Q331" s="347"/>
      <c r="R331" s="97"/>
    </row>
    <row r="332" spans="1:18" x14ac:dyDescent="0.3">
      <c r="B332" s="206"/>
      <c r="K332" s="211"/>
      <c r="L332" s="201"/>
      <c r="M332" s="201"/>
      <c r="N332" s="201"/>
      <c r="O332" s="201"/>
      <c r="P332" s="201"/>
      <c r="Q332" s="373"/>
      <c r="R332" s="211"/>
    </row>
    <row r="333" spans="1:18" x14ac:dyDescent="0.3">
      <c r="B333" s="11" t="s">
        <v>371</v>
      </c>
      <c r="Q333" s="374"/>
    </row>
    <row r="334" spans="1:18" s="93" customFormat="1" x14ac:dyDescent="0.3">
      <c r="B334" s="228" t="s">
        <v>372</v>
      </c>
      <c r="K334" s="230">
        <f t="shared" ref="K334:K342" si="178">R334</f>
        <v>0</v>
      </c>
      <c r="L334" s="230">
        <v>0</v>
      </c>
      <c r="M334" s="230">
        <v>0</v>
      </c>
      <c r="N334" s="230">
        <v>0</v>
      </c>
      <c r="O334" s="230">
        <v>0</v>
      </c>
      <c r="P334" s="230">
        <v>0</v>
      </c>
      <c r="Q334" s="375">
        <v>0</v>
      </c>
      <c r="R334" s="230">
        <v>0</v>
      </c>
    </row>
    <row r="335" spans="1:18" x14ac:dyDescent="0.3">
      <c r="B335" s="206" t="s">
        <v>373</v>
      </c>
      <c r="K335" s="97">
        <f t="shared" si="178"/>
        <v>0</v>
      </c>
      <c r="L335" s="97">
        <f>R339</f>
        <v>858</v>
      </c>
      <c r="M335" s="97">
        <f t="shared" ref="M335:O335" ca="1" si="179">L339</f>
        <v>858</v>
      </c>
      <c r="N335" s="97">
        <f t="shared" ca="1" si="179"/>
        <v>841.71254568368352</v>
      </c>
      <c r="O335" s="97">
        <f t="shared" ca="1" si="179"/>
        <v>787.21891183262483</v>
      </c>
      <c r="P335" s="97">
        <f ca="1">O339</f>
        <v>721.91404577477113</v>
      </c>
      <c r="Q335" s="347">
        <v>0</v>
      </c>
      <c r="R335" s="97">
        <v>0</v>
      </c>
    </row>
    <row r="336" spans="1:18" x14ac:dyDescent="0.3">
      <c r="B336" s="206" t="s">
        <v>115</v>
      </c>
      <c r="K336" s="107">
        <f t="shared" si="178"/>
        <v>858</v>
      </c>
      <c r="L336" s="97">
        <v>0</v>
      </c>
      <c r="M336" s="97">
        <v>0</v>
      </c>
      <c r="N336" s="97">
        <v>0</v>
      </c>
      <c r="O336" s="97">
        <v>0</v>
      </c>
      <c r="P336" s="97">
        <v>0</v>
      </c>
      <c r="Q336" s="347">
        <v>0</v>
      </c>
      <c r="R336" s="107">
        <f>'Transaction Details'!F10</f>
        <v>858</v>
      </c>
    </row>
    <row r="337" spans="2:18" x14ac:dyDescent="0.3">
      <c r="B337" s="206" t="s">
        <v>374</v>
      </c>
      <c r="E337" s="208" t="s">
        <v>375</v>
      </c>
      <c r="K337" s="97">
        <f t="shared" si="178"/>
        <v>0</v>
      </c>
      <c r="L337" s="97">
        <v>0</v>
      </c>
      <c r="M337" s="97">
        <v>0</v>
      </c>
      <c r="N337" s="97">
        <v>0</v>
      </c>
      <c r="O337" s="97">
        <v>0</v>
      </c>
      <c r="P337" s="97">
        <v>0</v>
      </c>
      <c r="Q337" s="347">
        <v>0</v>
      </c>
      <c r="R337" s="97">
        <v>0</v>
      </c>
    </row>
    <row r="338" spans="2:18" x14ac:dyDescent="0.3">
      <c r="B338" s="206" t="s">
        <v>376</v>
      </c>
      <c r="E338" s="209">
        <f>'Transaction Details'!D53</f>
        <v>0.5</v>
      </c>
      <c r="K338" s="97">
        <f t="shared" si="178"/>
        <v>0</v>
      </c>
      <c r="L338" s="97">
        <f ca="1">-MIN(L329,MAX(0,L335-L337))</f>
        <v>0</v>
      </c>
      <c r="M338" s="97">
        <f ca="1">-MIN(M329,MAX(0,M335-M337))</f>
        <v>-16.287454316316534</v>
      </c>
      <c r="N338" s="97">
        <f ca="1">-MIN(N329,MAX(0,N335-N337))</f>
        <v>-54.493633851058647</v>
      </c>
      <c r="O338" s="97">
        <f ca="1">-MIN(O329,MAX(0,O335-O337))</f>
        <v>-65.304866057853715</v>
      </c>
      <c r="P338" s="97">
        <f ca="1">-MIN(P329,MAX(0,P335-P337))</f>
        <v>-76.025139990888675</v>
      </c>
      <c r="Q338" s="347">
        <v>0</v>
      </c>
      <c r="R338" s="97">
        <v>0</v>
      </c>
    </row>
    <row r="339" spans="2:18" x14ac:dyDescent="0.3">
      <c r="B339" s="207" t="s">
        <v>377</v>
      </c>
      <c r="K339" s="26">
        <f t="shared" si="178"/>
        <v>858</v>
      </c>
      <c r="L339" s="26">
        <f t="shared" ref="L339:O339" ca="1" si="180">SUM(L335:L338)</f>
        <v>858</v>
      </c>
      <c r="M339" s="26">
        <f t="shared" ca="1" si="180"/>
        <v>841.71254568368352</v>
      </c>
      <c r="N339" s="26">
        <f t="shared" ca="1" si="180"/>
        <v>787.21891183262483</v>
      </c>
      <c r="O339" s="98">
        <f t="shared" ca="1" si="180"/>
        <v>721.91404577477113</v>
      </c>
      <c r="P339" s="98">
        <f ca="1">SUM(P335:P338)</f>
        <v>645.88890578388248</v>
      </c>
      <c r="Q339" s="252">
        <f>SUM(Q335:Q338)</f>
        <v>0</v>
      </c>
      <c r="R339" s="26">
        <f>SUM(R335:R338)</f>
        <v>858</v>
      </c>
    </row>
    <row r="340" spans="2:18" x14ac:dyDescent="0.3">
      <c r="B340" s="207"/>
      <c r="Q340" s="248"/>
    </row>
    <row r="341" spans="2:18" x14ac:dyDescent="0.3">
      <c r="B341" s="206" t="s">
        <v>144</v>
      </c>
      <c r="E341" s="196" t="s">
        <v>344</v>
      </c>
      <c r="K341" s="205">
        <f t="shared" si="178"/>
        <v>5.2500000000000005E-2</v>
      </c>
      <c r="L341" s="205">
        <f>'Inputs and Drivers'!M131</f>
        <v>5.2500000000000005E-2</v>
      </c>
      <c r="M341" s="205">
        <f>'Inputs and Drivers'!N131</f>
        <v>5.5E-2</v>
      </c>
      <c r="N341" s="205">
        <f>'Inputs and Drivers'!O131</f>
        <v>5.7500000000000002E-2</v>
      </c>
      <c r="O341" s="205">
        <f>'Inputs and Drivers'!P131</f>
        <v>5.7500000000000002E-2</v>
      </c>
      <c r="P341" s="205">
        <f>'Inputs and Drivers'!Q131</f>
        <v>0.06</v>
      </c>
      <c r="Q341" s="371">
        <f>K341</f>
        <v>5.2500000000000005E-2</v>
      </c>
      <c r="R341" s="205">
        <f>'Inputs and Drivers'!K131</f>
        <v>5.2500000000000005E-2</v>
      </c>
    </row>
    <row r="342" spans="2:18" x14ac:dyDescent="0.3">
      <c r="B342" s="207" t="s">
        <v>76</v>
      </c>
      <c r="E342" s="212">
        <v>1</v>
      </c>
      <c r="K342" s="98">
        <f t="shared" si="178"/>
        <v>-33.783749999999998</v>
      </c>
      <c r="L342" s="98">
        <f ca="1">IF($E$342=1,-AVERAGE(L335,L339)*L341*L325,-L335*L341*L325)</f>
        <v>-45.045000000000002</v>
      </c>
      <c r="M342" s="98">
        <f ca="1">IF($E$342=1,-AVERAGE(M335,M339)*M341*M325,-M335*M341*M325)</f>
        <v>-46.742095006301291</v>
      </c>
      <c r="N342" s="98">
        <f ca="1">IF($E$342=1,-AVERAGE(N335,N339)*N341*N325,-N335*N341*N325)</f>
        <v>-46.83177940359387</v>
      </c>
      <c r="O342" s="98">
        <f ca="1">IF($E$342=1,-AVERAGE(O335,O339)*O341*O325,-O335*O341*O325)</f>
        <v>-43.387572531212633</v>
      </c>
      <c r="P342" s="98">
        <f ca="1">IF($E$342=1,-AVERAGE(P335,P339)*P341*P325,-P335*P341*P325)</f>
        <v>-41.034088546759605</v>
      </c>
      <c r="Q342" s="252">
        <f>IF($E$342=1,-AVERAGE(Q336,Q339)*Q341*J325,-Q336*Q341*J325)</f>
        <v>0</v>
      </c>
      <c r="R342" s="98">
        <f>IF($E$342=1,-AVERAGE(R336,R339)*R341*R325,-R336*R341*R325)</f>
        <v>-33.783749999999998</v>
      </c>
    </row>
    <row r="343" spans="2:18" x14ac:dyDescent="0.3">
      <c r="B343" s="207"/>
    </row>
    <row r="344" spans="2:18" x14ac:dyDescent="0.3">
      <c r="B344" s="206"/>
    </row>
    <row r="345" spans="2:18" x14ac:dyDescent="0.3">
      <c r="B345" s="207"/>
    </row>
    <row r="346" spans="2:18" ht="15" thickBot="1" x14ac:dyDescent="0.35">
      <c r="B346" s="207"/>
      <c r="J346" s="80">
        <v>2025</v>
      </c>
      <c r="K346" s="80">
        <v>2026</v>
      </c>
      <c r="L346" s="80">
        <v>2027</v>
      </c>
      <c r="M346" s="80">
        <v>2028</v>
      </c>
      <c r="N346" s="80">
        <v>2029</v>
      </c>
      <c r="O346" s="80">
        <v>2030</v>
      </c>
      <c r="P346" s="80">
        <v>2031</v>
      </c>
      <c r="Q346" s="238">
        <v>2026</v>
      </c>
      <c r="R346" s="238">
        <v>2026</v>
      </c>
    </row>
    <row r="347" spans="2:18" x14ac:dyDescent="0.3">
      <c r="B347" s="11" t="s">
        <v>378</v>
      </c>
    </row>
    <row r="348" spans="2:18" x14ac:dyDescent="0.3">
      <c r="B348" s="228" t="s">
        <v>372</v>
      </c>
      <c r="C348" s="93"/>
      <c r="D348" s="93"/>
      <c r="E348" s="93"/>
      <c r="F348" s="93"/>
      <c r="G348" s="93"/>
      <c r="H348" s="93"/>
      <c r="I348" s="93"/>
      <c r="J348" s="229"/>
      <c r="K348" s="229">
        <f>R348</f>
        <v>0.01</v>
      </c>
      <c r="L348" s="229">
        <f>'Transaction Details'!G54</f>
        <v>0.01</v>
      </c>
      <c r="M348" s="229">
        <f>'Transaction Details'!H54</f>
        <v>0.01</v>
      </c>
      <c r="N348" s="229">
        <f>'Transaction Details'!I54</f>
        <v>0.01</v>
      </c>
      <c r="O348" s="229">
        <f>'Transaction Details'!J54</f>
        <v>0.01</v>
      </c>
      <c r="P348" s="229">
        <f>'Transaction Details'!K54</f>
        <v>0.01</v>
      </c>
      <c r="Q348" s="380">
        <f>'Transaction Details'!G54</f>
        <v>0.01</v>
      </c>
      <c r="R348" s="229">
        <f>'Transaction Details'!F54</f>
        <v>0.01</v>
      </c>
    </row>
    <row r="349" spans="2:18" x14ac:dyDescent="0.3">
      <c r="B349" s="206" t="s">
        <v>373</v>
      </c>
      <c r="K349" s="97">
        <f t="shared" ref="K349:K359" si="181">R349</f>
        <v>0</v>
      </c>
      <c r="L349" s="97">
        <f>R353</f>
        <v>684</v>
      </c>
      <c r="M349" s="97">
        <f t="shared" ref="M349:O349" ca="1" si="182">L353</f>
        <v>677.16</v>
      </c>
      <c r="N349" s="97">
        <f t="shared" ca="1" si="182"/>
        <v>654.10094568368345</v>
      </c>
      <c r="O349" s="97">
        <f t="shared" ca="1" si="182"/>
        <v>593.06630237578793</v>
      </c>
      <c r="P349" s="97">
        <f ca="1">O353</f>
        <v>521.83077329417631</v>
      </c>
      <c r="Q349" s="347">
        <v>0</v>
      </c>
      <c r="R349" s="97">
        <v>0</v>
      </c>
    </row>
    <row r="350" spans="2:18" x14ac:dyDescent="0.3">
      <c r="B350" s="206" t="s">
        <v>115</v>
      </c>
      <c r="K350" s="107">
        <f t="shared" si="181"/>
        <v>684</v>
      </c>
      <c r="L350" s="97">
        <v>0</v>
      </c>
      <c r="M350" s="97">
        <v>0</v>
      </c>
      <c r="N350" s="97">
        <v>0</v>
      </c>
      <c r="O350" s="97">
        <v>0</v>
      </c>
      <c r="P350" s="97">
        <v>0</v>
      </c>
      <c r="Q350" s="347">
        <v>0</v>
      </c>
      <c r="R350" s="107">
        <f>'Transaction Details'!F11</f>
        <v>684</v>
      </c>
    </row>
    <row r="351" spans="2:18" x14ac:dyDescent="0.3">
      <c r="B351" s="206" t="s">
        <v>374</v>
      </c>
      <c r="E351" s="208" t="s">
        <v>375</v>
      </c>
      <c r="J351" s="97"/>
      <c r="K351" s="97">
        <f t="shared" si="181"/>
        <v>0</v>
      </c>
      <c r="L351" s="97">
        <f>L349*L348*(-1)</f>
        <v>-6.84</v>
      </c>
      <c r="M351" s="97">
        <f ca="1">M349*M348*(-1)</f>
        <v>-6.7715999999999994</v>
      </c>
      <c r="N351" s="97">
        <f ca="1">N349*N348*(-1)</f>
        <v>-6.5410094568368349</v>
      </c>
      <c r="O351" s="97">
        <f ca="1">O349*O348*(-1)</f>
        <v>-5.9306630237578792</v>
      </c>
      <c r="P351" s="97">
        <f ca="1">P349*P348*(-1)</f>
        <v>-5.2183077329417635</v>
      </c>
      <c r="Q351" s="347">
        <v>0</v>
      </c>
      <c r="R351" s="97">
        <v>0</v>
      </c>
    </row>
    <row r="352" spans="2:18" x14ac:dyDescent="0.3">
      <c r="B352" s="206" t="s">
        <v>376</v>
      </c>
      <c r="E352" s="209">
        <v>1</v>
      </c>
      <c r="K352" s="97">
        <f t="shared" si="181"/>
        <v>0</v>
      </c>
      <c r="L352" s="97">
        <f ca="1">-MIN(L330,MAX(0,SUM(L349:L351)))</f>
        <v>0</v>
      </c>
      <c r="M352" s="97">
        <f ca="1">-MIN(M330,MAX(0,SUM(M349:M351)))</f>
        <v>-16.287454316316534</v>
      </c>
      <c r="N352" s="97">
        <f ca="1">-MIN(N330,MAX(0,SUM(N349:N351)))</f>
        <v>-54.493633851058647</v>
      </c>
      <c r="O352" s="97">
        <f ca="1">-MIN(O330,MAX(0,SUM(O349:O351)))</f>
        <v>-65.304866057853715</v>
      </c>
      <c r="P352" s="97">
        <f ca="1">-MIN(P330,MAX(0,SUM(P349:P351)))</f>
        <v>-76.025139990888675</v>
      </c>
      <c r="Q352" s="347">
        <v>0</v>
      </c>
      <c r="R352" s="97">
        <v>0</v>
      </c>
    </row>
    <row r="353" spans="1:18" x14ac:dyDescent="0.3">
      <c r="B353" s="207" t="s">
        <v>377</v>
      </c>
      <c r="J353" s="27"/>
      <c r="K353" s="98">
        <f t="shared" si="181"/>
        <v>684</v>
      </c>
      <c r="L353" s="98">
        <f t="shared" ref="L353:P353" ca="1" si="183">SUM(L349:L352)</f>
        <v>677.16</v>
      </c>
      <c r="M353" s="98">
        <f t="shared" ca="1" si="183"/>
        <v>654.10094568368345</v>
      </c>
      <c r="N353" s="98">
        <f t="shared" ca="1" si="183"/>
        <v>593.06630237578793</v>
      </c>
      <c r="O353" s="98">
        <f t="shared" ca="1" si="183"/>
        <v>521.83077329417631</v>
      </c>
      <c r="P353" s="98">
        <f t="shared" ca="1" si="183"/>
        <v>440.58732557034591</v>
      </c>
      <c r="Q353" s="252">
        <v>0</v>
      </c>
      <c r="R353" s="98">
        <f>SUM(R349:R352)</f>
        <v>684</v>
      </c>
    </row>
    <row r="354" spans="1:18" x14ac:dyDescent="0.3">
      <c r="B354" s="207"/>
      <c r="Q354" s="347"/>
    </row>
    <row r="355" spans="1:18" x14ac:dyDescent="0.3">
      <c r="B355" s="206" t="s">
        <v>144</v>
      </c>
      <c r="E355" s="196" t="s">
        <v>344</v>
      </c>
      <c r="J355" s="205"/>
      <c r="K355" s="205">
        <f t="shared" si="181"/>
        <v>5.7499999999999996E-2</v>
      </c>
      <c r="L355" s="205">
        <f>'Inputs and Drivers'!M134</f>
        <v>5.7499999999999996E-2</v>
      </c>
      <c r="M355" s="205">
        <f>'Inputs and Drivers'!N134</f>
        <v>0.06</v>
      </c>
      <c r="N355" s="205">
        <f>'Inputs and Drivers'!O134</f>
        <v>6.25E-2</v>
      </c>
      <c r="O355" s="205">
        <f>'Inputs and Drivers'!P134</f>
        <v>6.25E-2</v>
      </c>
      <c r="P355" s="205">
        <f>'Inputs and Drivers'!Q134</f>
        <v>6.5000000000000002E-2</v>
      </c>
      <c r="Q355" s="371">
        <f>R355</f>
        <v>5.7499999999999996E-2</v>
      </c>
      <c r="R355" s="205">
        <f>'Inputs and Drivers'!L134</f>
        <v>5.7499999999999996E-2</v>
      </c>
    </row>
    <row r="356" spans="1:18" x14ac:dyDescent="0.3">
      <c r="B356" s="207" t="s">
        <v>76</v>
      </c>
      <c r="E356" s="212">
        <v>1</v>
      </c>
      <c r="K356" s="98">
        <f t="shared" si="181"/>
        <v>-29.497499999999999</v>
      </c>
      <c r="L356" s="98">
        <f ca="1">IF($E$356=1,-AVERAGE(L353,L349)*L325*L355,-L349*L355*L325)</f>
        <v>-39.133349999999993</v>
      </c>
      <c r="M356" s="98">
        <f ca="1">IF($E$356=1,-AVERAGE(M353,M349)*M325*M355,-M349*M355*M325)</f>
        <v>-39.937828370510502</v>
      </c>
      <c r="N356" s="98">
        <f ca="1">IF($E$356=1,-AVERAGE(N353,N349)*N325*N355,-N349*N355*N325)</f>
        <v>-38.973976501858481</v>
      </c>
      <c r="O356" s="98">
        <f ca="1">IF($E$356=1,-AVERAGE(O353,O349)*O325*O355,-O349*O355*O325)</f>
        <v>-34.840533614686379</v>
      </c>
      <c r="P356" s="98">
        <f ca="1">IF($E$356=1,-AVERAGE(P353,P349)*P325*P355,-P349*P355*P325)</f>
        <v>-31.278588213096974</v>
      </c>
      <c r="Q356" s="376"/>
      <c r="R356" s="98">
        <f>IF($E$356=1,-AVERAGE(R353,R350)*R325*R355,-R350*R355*R325)</f>
        <v>-29.497499999999999</v>
      </c>
    </row>
    <row r="357" spans="1:18" x14ac:dyDescent="0.3">
      <c r="B357" s="207"/>
      <c r="Q357" s="374"/>
    </row>
    <row r="358" spans="1:18" x14ac:dyDescent="0.3">
      <c r="B358" s="206" t="s">
        <v>379</v>
      </c>
      <c r="K358" s="97">
        <f t="shared" ca="1" si="181"/>
        <v>32.833877599257058</v>
      </c>
      <c r="L358" s="97">
        <f t="shared" ref="L358:Q358" ca="1" si="184">L116</f>
        <v>33.901832040124006</v>
      </c>
      <c r="M358" s="97">
        <f t="shared" ca="1" si="184"/>
        <v>35.233565576390717</v>
      </c>
      <c r="N358" s="97">
        <f t="shared" ca="1" si="184"/>
        <v>36.564883803777107</v>
      </c>
      <c r="O358" s="97">
        <f t="shared" ca="1" si="184"/>
        <v>37.884045519729952</v>
      </c>
      <c r="P358" s="97">
        <f t="shared" ca="1" si="184"/>
        <v>39.178798817226252</v>
      </c>
      <c r="Q358" s="251">
        <f t="shared" ca="1" si="184"/>
        <v>32.833877599257598</v>
      </c>
      <c r="R358" s="97">
        <f ca="1">R41</f>
        <v>32.833877599257058</v>
      </c>
    </row>
    <row r="359" spans="1:18" x14ac:dyDescent="0.3">
      <c r="B359" s="206" t="s">
        <v>353</v>
      </c>
      <c r="K359" s="37">
        <f t="shared" si="181"/>
        <v>3.6999999999999998E-2</v>
      </c>
      <c r="L359" s="37">
        <f>'Inputs and Drivers'!M124</f>
        <v>3.4000000000000002E-2</v>
      </c>
      <c r="M359" s="37">
        <f>'Inputs and Drivers'!N124</f>
        <v>3.5999999999999997E-2</v>
      </c>
      <c r="N359" s="37">
        <f>'Inputs and Drivers'!O124</f>
        <v>3.7999999999999999E-2</v>
      </c>
      <c r="O359" s="37">
        <f>'Inputs and Drivers'!P124</f>
        <v>0.04</v>
      </c>
      <c r="P359" s="37">
        <f>'Inputs and Drivers'!Q124</f>
        <v>4.1500000000000002E-2</v>
      </c>
      <c r="Q359" s="377">
        <f>R359</f>
        <v>3.6999999999999998E-2</v>
      </c>
      <c r="R359" s="37">
        <f>'Inputs and Drivers'!L124</f>
        <v>3.6999999999999998E-2</v>
      </c>
    </row>
    <row r="360" spans="1:18" x14ac:dyDescent="0.3">
      <c r="B360" s="11" t="s">
        <v>380</v>
      </c>
      <c r="K360" s="103">
        <f ca="1">R360</f>
        <v>0.91114010337939066</v>
      </c>
      <c r="L360" s="103">
        <f ca="1">IF($E$356=1,AVERAGE(K358:L358)*L359*L325,L358*L359)</f>
        <v>1.1345070638694783</v>
      </c>
      <c r="M360" s="103">
        <f t="shared" ref="M360:P360" ca="1" si="185">IF($E$356=1,AVERAGE(L358:M358)*M359*M325,M358*M359)</f>
        <v>1.244437157097265</v>
      </c>
      <c r="N360" s="103">
        <f t="shared" ca="1" si="185"/>
        <v>1.3641705382231886</v>
      </c>
      <c r="O360" s="103">
        <f t="shared" ca="1" si="185"/>
        <v>1.4889785864701413</v>
      </c>
      <c r="P360" s="103">
        <f t="shared" ca="1" si="185"/>
        <v>1.5990540199918413</v>
      </c>
      <c r="Q360" s="257">
        <f ca="1">IF($E$356=1,AVERAGE(Q114,Q358)*Q359*Q325,Q358*Q359)</f>
        <v>0.30087012343894515</v>
      </c>
      <c r="R360" s="103">
        <f ca="1">IF($E$356=1,AVERAGE(R114,R358)*R359*R325,R358*R359)</f>
        <v>0.91114010337939066</v>
      </c>
    </row>
    <row r="361" spans="1:18" x14ac:dyDescent="0.3">
      <c r="B361" s="207"/>
    </row>
    <row r="362" spans="1:18" x14ac:dyDescent="0.3">
      <c r="B362" s="207"/>
    </row>
    <row r="363" spans="1:18" s="8" customFormat="1" ht="21" x14ac:dyDescent="0.4">
      <c r="A363" t="s">
        <v>3</v>
      </c>
      <c r="B363" s="9" t="s">
        <v>381</v>
      </c>
    </row>
    <row r="364" spans="1:18" x14ac:dyDescent="0.3">
      <c r="B364" s="207"/>
    </row>
    <row r="365" spans="1:18" ht="15" thickBot="1" x14ac:dyDescent="0.35">
      <c r="B365" s="207"/>
      <c r="J365" s="80">
        <v>2025</v>
      </c>
      <c r="K365" s="80">
        <v>2026</v>
      </c>
      <c r="L365" s="80">
        <v>2027</v>
      </c>
      <c r="M365" s="80">
        <v>2028</v>
      </c>
      <c r="N365" s="80">
        <v>2029</v>
      </c>
      <c r="O365" s="80">
        <v>2030</v>
      </c>
      <c r="P365" s="80">
        <v>2031</v>
      </c>
      <c r="Q365" s="238">
        <v>2026</v>
      </c>
      <c r="R365" s="238">
        <v>2026</v>
      </c>
    </row>
    <row r="366" spans="1:18" x14ac:dyDescent="0.3">
      <c r="B366" s="207"/>
    </row>
    <row r="367" spans="1:18" x14ac:dyDescent="0.3">
      <c r="B367" s="206" t="s">
        <v>382</v>
      </c>
      <c r="K367" s="97">
        <f ca="1">R367</f>
        <v>59.128261599069361</v>
      </c>
      <c r="L367" s="97">
        <f ca="1">R369</f>
        <v>54.693641979139159</v>
      </c>
      <c r="M367" s="97">
        <f t="shared" ref="M367:O367" ca="1" si="186">L369</f>
        <v>48.780815819232224</v>
      </c>
      <c r="N367" s="97">
        <f t="shared" ca="1" si="186"/>
        <v>42.867989659325289</v>
      </c>
      <c r="O367" s="97">
        <f t="shared" ca="1" si="186"/>
        <v>36.955163499418354</v>
      </c>
      <c r="P367" s="97">
        <f ca="1">O369</f>
        <v>31.04233733951142</v>
      </c>
      <c r="Q367" s="347">
        <v>0</v>
      </c>
      <c r="R367" s="97">
        <f ca="1">-K106</f>
        <v>59.128261599069361</v>
      </c>
    </row>
    <row r="368" spans="1:18" x14ac:dyDescent="0.3">
      <c r="B368" s="206" t="s">
        <v>383</v>
      </c>
      <c r="K368" s="97">
        <f t="shared" ref="K368" ca="1" si="187">R368</f>
        <v>-4.4346196199302028</v>
      </c>
      <c r="L368" s="107">
        <f ca="1">('Inputs and Drivers'!M138*Model!L325)/-1</f>
        <v>-5.9128261599069365</v>
      </c>
      <c r="M368" s="107">
        <f ca="1">('Inputs and Drivers'!N138*Model!M325)/-1</f>
        <v>-5.9128261599069365</v>
      </c>
      <c r="N368" s="107">
        <f ca="1">('Inputs and Drivers'!O138*Model!N325)/-1</f>
        <v>-5.9128261599069365</v>
      </c>
      <c r="O368" s="107">
        <f ca="1">('Inputs and Drivers'!P138*Model!O325)/-1</f>
        <v>-5.9128261599069365</v>
      </c>
      <c r="P368" s="107">
        <f ca="1">('Inputs and Drivers'!Q138*Model!P325)/-1</f>
        <v>-5.9128261599069365</v>
      </c>
      <c r="Q368" s="347">
        <v>0</v>
      </c>
      <c r="R368" s="107">
        <f ca="1">('Inputs and Drivers'!L138*Model!K325)/-1</f>
        <v>-4.4346196199302028</v>
      </c>
    </row>
    <row r="369" spans="1:18" x14ac:dyDescent="0.3">
      <c r="B369" s="207" t="s">
        <v>342</v>
      </c>
      <c r="K369" s="98">
        <f ca="1">SUM(K367:K368)</f>
        <v>54.693641979139159</v>
      </c>
      <c r="L369" s="98">
        <f t="shared" ref="L369:P369" ca="1" si="188">SUM(L367:L368)</f>
        <v>48.780815819232224</v>
      </c>
      <c r="M369" s="98">
        <f t="shared" ca="1" si="188"/>
        <v>42.867989659325289</v>
      </c>
      <c r="N369" s="98">
        <f t="shared" ca="1" si="188"/>
        <v>36.955163499418354</v>
      </c>
      <c r="O369" s="98">
        <f t="shared" ca="1" si="188"/>
        <v>31.04233733951142</v>
      </c>
      <c r="P369" s="98">
        <f t="shared" ca="1" si="188"/>
        <v>25.129511179604485</v>
      </c>
      <c r="Q369" s="252">
        <v>0</v>
      </c>
      <c r="R369" s="98">
        <f ca="1">SUM(R367:R368)</f>
        <v>54.693641979139159</v>
      </c>
    </row>
    <row r="370" spans="1:18" x14ac:dyDescent="0.3">
      <c r="B370" s="207"/>
    </row>
    <row r="371" spans="1:18" s="8" customFormat="1" ht="21" x14ac:dyDescent="0.4">
      <c r="A371" t="s">
        <v>3</v>
      </c>
      <c r="B371" s="9" t="s">
        <v>384</v>
      </c>
    </row>
    <row r="374" spans="1:18" ht="15" thickBot="1" x14ac:dyDescent="0.35">
      <c r="J374" s="80">
        <v>2025</v>
      </c>
      <c r="K374" s="80">
        <v>2026</v>
      </c>
      <c r="L374" s="80">
        <v>2027</v>
      </c>
      <c r="M374" s="80">
        <v>2028</v>
      </c>
      <c r="N374" s="80">
        <v>2029</v>
      </c>
      <c r="O374" s="80">
        <v>2030</v>
      </c>
      <c r="P374" s="80">
        <v>2031</v>
      </c>
      <c r="Q374" s="238">
        <v>2026</v>
      </c>
      <c r="R374" s="238">
        <v>2026</v>
      </c>
    </row>
    <row r="376" spans="1:18" x14ac:dyDescent="0.3">
      <c r="B376" s="11" t="s">
        <v>385</v>
      </c>
    </row>
    <row r="377" spans="1:18" x14ac:dyDescent="0.3">
      <c r="B377" t="s">
        <v>373</v>
      </c>
      <c r="I377" s="97"/>
      <c r="J377" s="97">
        <f>J272</f>
        <v>641.4</v>
      </c>
      <c r="K377" s="97">
        <f ca="1">Q377</f>
        <v>518.69766734273378</v>
      </c>
      <c r="L377" s="97">
        <f>L335+L349</f>
        <v>1542</v>
      </c>
      <c r="M377" s="97">
        <f ca="1">M335+M349</f>
        <v>1535.1599999999999</v>
      </c>
      <c r="N377" s="97">
        <f ca="1">N335+N349</f>
        <v>1495.8134913673671</v>
      </c>
      <c r="O377" s="97">
        <f ca="1">O335+O349</f>
        <v>1380.2852142084128</v>
      </c>
      <c r="P377" s="97">
        <f ca="1">P335+P349</f>
        <v>1243.7448190689474</v>
      </c>
      <c r="Q377" s="249">
        <f ca="1">Q272</f>
        <v>518.69766734273378</v>
      </c>
      <c r="R377" s="97">
        <f ca="1">R272</f>
        <v>490.16307995346784</v>
      </c>
    </row>
    <row r="378" spans="1:18" x14ac:dyDescent="0.3">
      <c r="B378" t="s">
        <v>386</v>
      </c>
      <c r="I378" s="97"/>
      <c r="J378" s="97">
        <f ca="1">J273</f>
        <v>-122.70233265726615</v>
      </c>
      <c r="K378" s="97">
        <f ca="1">SUM(Q378:R378)</f>
        <v>-518.69766734273378</v>
      </c>
      <c r="L378" s="108">
        <v>0</v>
      </c>
      <c r="M378" s="108">
        <v>0</v>
      </c>
      <c r="N378" s="108">
        <v>0</v>
      </c>
      <c r="O378" s="108">
        <v>0</v>
      </c>
      <c r="P378" s="108">
        <v>0</v>
      </c>
      <c r="Q378" s="249">
        <f ca="1">Q273</f>
        <v>-28.534587389265951</v>
      </c>
      <c r="R378" s="97">
        <f ca="1">R273</f>
        <v>-490.16307995346784</v>
      </c>
    </row>
    <row r="379" spans="1:18" x14ac:dyDescent="0.3">
      <c r="B379" t="s">
        <v>387</v>
      </c>
      <c r="I379" s="97"/>
      <c r="J379" s="97">
        <f t="shared" ref="J379:P379" si="189">SUM(J336:J338)</f>
        <v>0</v>
      </c>
      <c r="K379" s="97">
        <f t="shared" ref="K379:K380" si="190">SUM(Q379:R379)</f>
        <v>858</v>
      </c>
      <c r="L379" s="97">
        <f ca="1">SUM(L336:L338)</f>
        <v>0</v>
      </c>
      <c r="M379" s="97">
        <f t="shared" ca="1" si="189"/>
        <v>-16.287454316316534</v>
      </c>
      <c r="N379" s="97">
        <f t="shared" ca="1" si="189"/>
        <v>-54.493633851058647</v>
      </c>
      <c r="O379" s="97">
        <f t="shared" ca="1" si="189"/>
        <v>-65.304866057853715</v>
      </c>
      <c r="P379" s="97">
        <f t="shared" ca="1" si="189"/>
        <v>-76.025139990888675</v>
      </c>
      <c r="Q379" s="347">
        <v>0</v>
      </c>
      <c r="R379" s="97">
        <f>R336</f>
        <v>858</v>
      </c>
    </row>
    <row r="380" spans="1:18" x14ac:dyDescent="0.3">
      <c r="B380" t="s">
        <v>388</v>
      </c>
      <c r="G380" s="97"/>
      <c r="J380" s="97">
        <f t="shared" ref="J380:P380" si="191">SUM(J350:J352)</f>
        <v>0</v>
      </c>
      <c r="K380" s="97">
        <f t="shared" si="190"/>
        <v>684</v>
      </c>
      <c r="L380" s="97">
        <f t="shared" ca="1" si="191"/>
        <v>-6.84</v>
      </c>
      <c r="M380" s="97">
        <f t="shared" ca="1" si="191"/>
        <v>-23.059054316316534</v>
      </c>
      <c r="N380" s="97">
        <f t="shared" ca="1" si="191"/>
        <v>-61.034643307895479</v>
      </c>
      <c r="O380" s="97">
        <f t="shared" ca="1" si="191"/>
        <v>-71.235529081611588</v>
      </c>
      <c r="P380" s="97">
        <f t="shared" ca="1" si="191"/>
        <v>-81.243447723830442</v>
      </c>
      <c r="Q380" s="347">
        <v>0</v>
      </c>
      <c r="R380" s="97">
        <f>R350</f>
        <v>684</v>
      </c>
    </row>
    <row r="381" spans="1:18" x14ac:dyDescent="0.3">
      <c r="B381" s="11" t="s">
        <v>377</v>
      </c>
      <c r="J381" s="98">
        <f t="shared" ref="J381:P381" ca="1" si="192">SUM(J377:J380)</f>
        <v>518.69766734273378</v>
      </c>
      <c r="K381" s="98">
        <f ca="1">SUM(K377:K380)</f>
        <v>1542</v>
      </c>
      <c r="L381" s="98">
        <f t="shared" ca="1" si="192"/>
        <v>1535.16</v>
      </c>
      <c r="M381" s="98">
        <f t="shared" ca="1" si="192"/>
        <v>1495.8134913673666</v>
      </c>
      <c r="N381" s="98">
        <f t="shared" ca="1" si="192"/>
        <v>1380.285214208413</v>
      </c>
      <c r="O381" s="98">
        <f t="shared" ca="1" si="192"/>
        <v>1243.7448190689474</v>
      </c>
      <c r="P381" s="98">
        <f t="shared" ca="1" si="192"/>
        <v>1086.4762313542283</v>
      </c>
      <c r="Q381" s="252">
        <f ca="1">SUM(Q377:Q380)</f>
        <v>490.16307995346784</v>
      </c>
      <c r="R381" s="98">
        <f ca="1">SUM(R377:R380)</f>
        <v>1542</v>
      </c>
    </row>
    <row r="382" spans="1:18" x14ac:dyDescent="0.3">
      <c r="B382" s="11"/>
      <c r="J382" s="149"/>
      <c r="K382" s="149"/>
      <c r="L382" s="149"/>
      <c r="M382" s="149"/>
      <c r="N382" s="149"/>
      <c r="O382" s="149"/>
      <c r="P382" s="149"/>
      <c r="Q382" s="369"/>
      <c r="R382" s="149"/>
    </row>
    <row r="383" spans="1:18" x14ac:dyDescent="0.3">
      <c r="B383" t="s">
        <v>389</v>
      </c>
      <c r="J383" s="97">
        <v>0</v>
      </c>
      <c r="K383" s="97">
        <f ca="1">K369</f>
        <v>54.693641979139159</v>
      </c>
      <c r="L383" s="97">
        <f ca="1">L369</f>
        <v>48.780815819232224</v>
      </c>
      <c r="M383" s="97">
        <f t="shared" ref="M383:P383" ca="1" si="193">M369</f>
        <v>42.867989659325289</v>
      </c>
      <c r="N383" s="97">
        <f t="shared" ca="1" si="193"/>
        <v>36.955163499418354</v>
      </c>
      <c r="O383" s="97">
        <f t="shared" ca="1" si="193"/>
        <v>31.04233733951142</v>
      </c>
      <c r="P383" s="97">
        <f t="shared" ca="1" si="193"/>
        <v>25.129511179604485</v>
      </c>
      <c r="Q383" s="381">
        <v>0</v>
      </c>
      <c r="R383" s="97">
        <f ca="1">R369</f>
        <v>54.693641979139159</v>
      </c>
    </row>
    <row r="384" spans="1:18" x14ac:dyDescent="0.3">
      <c r="B384" s="11" t="s">
        <v>390</v>
      </c>
      <c r="J384" s="103">
        <f ca="1">J381-J383</f>
        <v>518.69766734273378</v>
      </c>
      <c r="K384" s="103">
        <f t="shared" ref="K384:R384" ca="1" si="194">K381-K383</f>
        <v>1487.3063580208609</v>
      </c>
      <c r="L384" s="103">
        <f t="shared" ca="1" si="194"/>
        <v>1486.3791841807679</v>
      </c>
      <c r="M384" s="103">
        <f t="shared" ca="1" si="194"/>
        <v>1452.9455017080413</v>
      </c>
      <c r="N384" s="103">
        <f t="shared" ca="1" si="194"/>
        <v>1343.3300507089946</v>
      </c>
      <c r="O384" s="103">
        <f t="shared" ca="1" si="194"/>
        <v>1212.7024817294359</v>
      </c>
      <c r="P384" s="103">
        <f t="shared" ca="1" si="194"/>
        <v>1061.3467201746239</v>
      </c>
      <c r="Q384" s="257">
        <f t="shared" ca="1" si="194"/>
        <v>490.16307995346784</v>
      </c>
      <c r="R384" s="103">
        <f t="shared" ca="1" si="194"/>
        <v>1487.3063580208609</v>
      </c>
    </row>
    <row r="385" spans="1:18" x14ac:dyDescent="0.3">
      <c r="K385" s="97"/>
      <c r="L385" s="97"/>
      <c r="M385" s="97"/>
      <c r="N385" s="97"/>
      <c r="O385" s="97"/>
      <c r="P385" s="97"/>
      <c r="Q385" s="248"/>
    </row>
    <row r="386" spans="1:18" x14ac:dyDescent="0.3">
      <c r="B386" s="11" t="s">
        <v>391</v>
      </c>
      <c r="K386" s="97"/>
      <c r="L386" s="97"/>
      <c r="M386" s="97"/>
      <c r="N386" s="97"/>
      <c r="O386" s="97"/>
      <c r="P386" s="97"/>
      <c r="Q386" s="248"/>
    </row>
    <row r="387" spans="1:18" x14ac:dyDescent="0.3">
      <c r="B387" t="s">
        <v>373</v>
      </c>
      <c r="J387" s="97">
        <f t="shared" ref="J387:P387" si="195">SUM(J303,J262)</f>
        <v>13.3</v>
      </c>
      <c r="K387" s="97">
        <f t="shared" ca="1" si="195"/>
        <v>200</v>
      </c>
      <c r="L387" s="97">
        <f t="shared" ca="1" si="195"/>
        <v>141.11957253308731</v>
      </c>
      <c r="M387" s="97">
        <f t="shared" ca="1" si="195"/>
        <v>60.179896579067076</v>
      </c>
      <c r="N387" s="97">
        <f t="shared" ca="1" si="195"/>
        <v>0</v>
      </c>
      <c r="O387" s="97">
        <f t="shared" ca="1" si="195"/>
        <v>0</v>
      </c>
      <c r="P387" s="97">
        <f t="shared" ca="1" si="195"/>
        <v>0</v>
      </c>
      <c r="Q387" s="249">
        <f ca="1">SUM(Q262,Q303)</f>
        <v>0</v>
      </c>
      <c r="R387" s="97">
        <f ca="1">SUM(R262,R303)</f>
        <v>200</v>
      </c>
    </row>
    <row r="388" spans="1:18" x14ac:dyDescent="0.3">
      <c r="B388" t="s">
        <v>392</v>
      </c>
      <c r="J388" s="97">
        <f ca="1">J263</f>
        <v>-13.3</v>
      </c>
      <c r="K388" s="97">
        <f ca="1">K263</f>
        <v>0</v>
      </c>
      <c r="L388" s="97">
        <f t="shared" ref="L388:P388" si="196">L263</f>
        <v>0</v>
      </c>
      <c r="M388" s="97">
        <f t="shared" si="196"/>
        <v>0</v>
      </c>
      <c r="N388" s="97">
        <f t="shared" si="196"/>
        <v>0</v>
      </c>
      <c r="O388" s="97">
        <f t="shared" si="196"/>
        <v>0</v>
      </c>
      <c r="P388" s="97">
        <f t="shared" si="196"/>
        <v>0</v>
      </c>
      <c r="Q388" s="249">
        <f ca="1">Q263</f>
        <v>0</v>
      </c>
      <c r="R388" s="97">
        <f ca="1">R263</f>
        <v>0</v>
      </c>
    </row>
    <row r="389" spans="1:18" x14ac:dyDescent="0.3">
      <c r="B389" t="s">
        <v>393</v>
      </c>
      <c r="J389" s="97">
        <f t="shared" ref="J389:P389" si="197">SUM(J304)</f>
        <v>0</v>
      </c>
      <c r="K389" s="97">
        <f t="shared" ca="1" si="197"/>
        <v>-58.8804274669127</v>
      </c>
      <c r="L389" s="97">
        <f t="shared" ca="1" si="197"/>
        <v>-80.939675954020231</v>
      </c>
      <c r="M389" s="97">
        <f ca="1">SUM(M304)</f>
        <v>-60.179896579067076</v>
      </c>
      <c r="N389" s="97">
        <f t="shared" ca="1" si="197"/>
        <v>0</v>
      </c>
      <c r="O389" s="97">
        <f t="shared" ca="1" si="197"/>
        <v>0</v>
      </c>
      <c r="P389" s="97">
        <f t="shared" ca="1" si="197"/>
        <v>0</v>
      </c>
      <c r="Q389" s="249">
        <f>Q304</f>
        <v>0</v>
      </c>
      <c r="R389" s="213">
        <f ca="1">R304</f>
        <v>-58.8804274669127</v>
      </c>
    </row>
    <row r="390" spans="1:18" x14ac:dyDescent="0.3">
      <c r="B390" s="11" t="s">
        <v>377</v>
      </c>
      <c r="J390" s="98">
        <f t="shared" ref="J390:Q390" ca="1" si="198">SUM(J387:J389)</f>
        <v>0</v>
      </c>
      <c r="K390" s="98">
        <f t="shared" ca="1" si="198"/>
        <v>141.11957253308731</v>
      </c>
      <c r="L390" s="98">
        <f t="shared" ca="1" si="198"/>
        <v>60.179896579067076</v>
      </c>
      <c r="M390" s="98">
        <f t="shared" ca="1" si="198"/>
        <v>0</v>
      </c>
      <c r="N390" s="98">
        <f t="shared" ca="1" si="198"/>
        <v>0</v>
      </c>
      <c r="O390" s="98">
        <f t="shared" ca="1" si="198"/>
        <v>0</v>
      </c>
      <c r="P390" s="98">
        <f t="shared" ca="1" si="198"/>
        <v>0</v>
      </c>
      <c r="Q390" s="252">
        <f t="shared" ca="1" si="198"/>
        <v>0</v>
      </c>
      <c r="R390" s="98">
        <f t="shared" ref="R390" ca="1" si="199">SUM(R387:R389)</f>
        <v>141.11957253308731</v>
      </c>
    </row>
    <row r="391" spans="1:18" x14ac:dyDescent="0.3">
      <c r="B391" s="11"/>
      <c r="K391" s="97"/>
      <c r="L391" s="97"/>
      <c r="M391" s="97"/>
      <c r="N391" s="97"/>
      <c r="O391" s="97"/>
      <c r="P391" s="97"/>
      <c r="Q391" s="248"/>
    </row>
    <row r="392" spans="1:18" x14ac:dyDescent="0.3">
      <c r="B392" s="11" t="s">
        <v>394</v>
      </c>
      <c r="J392" s="103">
        <f ca="1">J356+J342+J316+J308+J279</f>
        <v>-27.692184949288517</v>
      </c>
      <c r="K392" s="103">
        <f ca="1">K356+K342+K316+K308+K279</f>
        <v>-72.847382228457661</v>
      </c>
      <c r="L392" s="103">
        <f t="shared" ref="L392:R392" ca="1" si="200">L356+L342+L316+L308+L279</f>
        <v>-91.733237789579547</v>
      </c>
      <c r="M392" s="103">
        <f t="shared" ca="1" si="200"/>
        <v>-91.064285868854157</v>
      </c>
      <c r="N392" s="103">
        <f t="shared" ca="1" si="200"/>
        <v>-88.730755905452341</v>
      </c>
      <c r="O392" s="103">
        <f t="shared" ca="1" si="200"/>
        <v>-81.153106145899002</v>
      </c>
      <c r="P392" s="103">
        <f t="shared" ca="1" si="200"/>
        <v>-75.237676759856569</v>
      </c>
      <c r="Q392" s="257">
        <f t="shared" ca="1" si="200"/>
        <v>-1.4880696022618976</v>
      </c>
      <c r="R392" s="103">
        <f t="shared" ca="1" si="200"/>
        <v>-71.359312626195759</v>
      </c>
    </row>
    <row r="393" spans="1:18" x14ac:dyDescent="0.3">
      <c r="O393" s="97"/>
      <c r="P393" s="97"/>
      <c r="Q393" s="248"/>
    </row>
    <row r="394" spans="1:18" x14ac:dyDescent="0.3">
      <c r="B394" s="11" t="s">
        <v>395</v>
      </c>
      <c r="J394" s="103">
        <f ca="1">SUM(J360,J285)</f>
        <v>3.5790012175404819</v>
      </c>
      <c r="K394" s="103">
        <f ca="1">SUM(K360,K285)</f>
        <v>1.2933264763964292</v>
      </c>
      <c r="L394" s="103">
        <f t="shared" ref="L394:Q394" ca="1" si="201">SUM(L360,L285)</f>
        <v>1.1345070638694783</v>
      </c>
      <c r="M394" s="103">
        <f t="shared" ca="1" si="201"/>
        <v>1.244437157097265</v>
      </c>
      <c r="N394" s="103">
        <f t="shared" ca="1" si="201"/>
        <v>1.3641705382231886</v>
      </c>
      <c r="O394" s="103">
        <f t="shared" ca="1" si="201"/>
        <v>1.4889785864701413</v>
      </c>
      <c r="P394" s="103">
        <f t="shared" ca="1" si="201"/>
        <v>1.5990540199918413</v>
      </c>
      <c r="Q394" s="257">
        <f t="shared" ca="1" si="201"/>
        <v>0.68305649645598354</v>
      </c>
      <c r="R394" s="103">
        <f ca="1">SUM(R360,R285)</f>
        <v>0.91114010337939066</v>
      </c>
    </row>
    <row r="395" spans="1:18" x14ac:dyDescent="0.3">
      <c r="K395" s="97"/>
      <c r="O395" s="97"/>
      <c r="P395" s="97"/>
    </row>
    <row r="396" spans="1:18" x14ac:dyDescent="0.3">
      <c r="K396" s="97"/>
      <c r="O396" s="97"/>
      <c r="P396" s="97"/>
    </row>
    <row r="397" spans="1:18" s="8" customFormat="1" ht="21" x14ac:dyDescent="0.4">
      <c r="A397" t="s">
        <v>3</v>
      </c>
      <c r="B397" s="9" t="s">
        <v>396</v>
      </c>
    </row>
    <row r="399" spans="1:18" ht="15" thickBot="1" x14ac:dyDescent="0.35">
      <c r="J399" s="217" t="s">
        <v>397</v>
      </c>
      <c r="K399" s="80">
        <v>2026</v>
      </c>
      <c r="L399" s="80">
        <v>2027</v>
      </c>
      <c r="M399" s="80">
        <v>2028</v>
      </c>
      <c r="N399" s="80">
        <v>2029</v>
      </c>
      <c r="O399" s="80">
        <v>2030</v>
      </c>
      <c r="P399" s="80">
        <v>2031</v>
      </c>
    </row>
    <row r="400" spans="1:18" x14ac:dyDescent="0.3">
      <c r="B400" s="93" t="s">
        <v>398</v>
      </c>
    </row>
    <row r="401" spans="2:16" x14ac:dyDescent="0.3">
      <c r="E401" s="196" t="s">
        <v>399</v>
      </c>
      <c r="F401" s="215"/>
      <c r="G401" s="215"/>
    </row>
    <row r="402" spans="2:16" x14ac:dyDescent="0.3">
      <c r="E402" s="227">
        <f>'Transaction Details'!F29</f>
        <v>46112</v>
      </c>
      <c r="F402" s="215"/>
      <c r="G402" s="216" t="s">
        <v>400</v>
      </c>
      <c r="J402" s="385">
        <f>E402</f>
        <v>46112</v>
      </c>
      <c r="K402" s="382">
        <f>EDATE('Transaction Details'!F28,12)</f>
        <v>46387</v>
      </c>
      <c r="L402" s="383">
        <f>EDATE(K402,12)</f>
        <v>46752</v>
      </c>
      <c r="M402" s="383">
        <f t="shared" ref="M402:O402" si="202">EDATE(L402,12)</f>
        <v>47118</v>
      </c>
      <c r="N402" s="383">
        <f t="shared" si="202"/>
        <v>47483</v>
      </c>
      <c r="O402" s="383">
        <f t="shared" si="202"/>
        <v>47848</v>
      </c>
      <c r="P402" s="384">
        <f>EDATE(O402,12)</f>
        <v>48213</v>
      </c>
    </row>
    <row r="404" spans="2:16" x14ac:dyDescent="0.3">
      <c r="B404" s="214" t="s">
        <v>401</v>
      </c>
    </row>
    <row r="405" spans="2:16" x14ac:dyDescent="0.3">
      <c r="B405" s="215" t="s">
        <v>18</v>
      </c>
      <c r="K405" s="97">
        <f t="shared" ref="K405:P405" si="203">K19</f>
        <v>249.20657956483035</v>
      </c>
      <c r="L405" s="97">
        <f t="shared" si="203"/>
        <v>272.35789003494574</v>
      </c>
      <c r="M405" s="97">
        <f t="shared" si="203"/>
        <v>299.37997603380779</v>
      </c>
      <c r="N405" s="97">
        <f t="shared" si="203"/>
        <v>328.52297118931517</v>
      </c>
      <c r="O405" s="97">
        <f t="shared" si="203"/>
        <v>359.83743330859181</v>
      </c>
      <c r="P405" s="97">
        <f t="shared" si="203"/>
        <v>393.35905038784438</v>
      </c>
    </row>
    <row r="406" spans="2:16" x14ac:dyDescent="0.3">
      <c r="B406" s="215" t="s">
        <v>62</v>
      </c>
      <c r="K406" s="220">
        <f>'Outputs '!$D$255</f>
        <v>19.996022008001116</v>
      </c>
      <c r="L406" s="221">
        <f>K406</f>
        <v>19.996022008001116</v>
      </c>
      <c r="M406" s="221">
        <f t="shared" ref="M406:O406" si="204">L406</f>
        <v>19.996022008001116</v>
      </c>
      <c r="N406" s="221">
        <f t="shared" si="204"/>
        <v>19.996022008001116</v>
      </c>
      <c r="O406" s="221">
        <f t="shared" si="204"/>
        <v>19.996022008001116</v>
      </c>
      <c r="P406" s="221">
        <f>O406</f>
        <v>19.996022008001116</v>
      </c>
    </row>
    <row r="407" spans="2:16" x14ac:dyDescent="0.3">
      <c r="B407" s="214" t="s">
        <v>401</v>
      </c>
      <c r="K407" s="149">
        <f>K405*K406</f>
        <v>4983.1402495170287</v>
      </c>
      <c r="L407" s="149">
        <f t="shared" ref="L407:P407" si="205">L405*L406</f>
        <v>5446.0743631915229</v>
      </c>
      <c r="M407" s="149">
        <f>M405*M406</f>
        <v>5986.4085895268672</v>
      </c>
      <c r="N407" s="149">
        <f t="shared" si="205"/>
        <v>6569.1525620354632</v>
      </c>
      <c r="O407" s="149">
        <f t="shared" si="205"/>
        <v>7195.3172357412359</v>
      </c>
      <c r="P407" s="149">
        <f t="shared" si="205"/>
        <v>7865.6162286017561</v>
      </c>
    </row>
    <row r="408" spans="2:16" x14ac:dyDescent="0.3">
      <c r="B408" s="215"/>
    </row>
    <row r="409" spans="2:16" x14ac:dyDescent="0.3">
      <c r="B409" s="214" t="s">
        <v>35</v>
      </c>
      <c r="K409" s="336"/>
      <c r="L409" s="336"/>
      <c r="M409" s="336"/>
      <c r="N409" s="336"/>
      <c r="O409" s="336"/>
      <c r="P409" s="336"/>
    </row>
    <row r="410" spans="2:16" x14ac:dyDescent="0.3">
      <c r="B410" s="215" t="s">
        <v>402</v>
      </c>
      <c r="K410" s="97">
        <f ca="1">K390+K381</f>
        <v>1683.1195725330872</v>
      </c>
      <c r="L410" s="97">
        <f ca="1">L390+L381</f>
        <v>1595.339896579067</v>
      </c>
      <c r="M410" s="97">
        <f t="shared" ref="M410:P410" ca="1" si="206">M390+M381</f>
        <v>1495.8134913673666</v>
      </c>
      <c r="N410" s="97">
        <f t="shared" ca="1" si="206"/>
        <v>1380.285214208413</v>
      </c>
      <c r="O410" s="97">
        <f t="shared" ca="1" si="206"/>
        <v>1243.7448190689474</v>
      </c>
      <c r="P410" s="97">
        <f t="shared" ca="1" si="206"/>
        <v>1086.4762313542283</v>
      </c>
    </row>
    <row r="411" spans="2:16" x14ac:dyDescent="0.3">
      <c r="B411" s="215" t="s">
        <v>13</v>
      </c>
      <c r="K411" s="213">
        <f t="shared" ref="K411:P411" ca="1" si="207">K116</f>
        <v>32.833877599257235</v>
      </c>
      <c r="L411" s="213">
        <f t="shared" ca="1" si="207"/>
        <v>33.901832040124006</v>
      </c>
      <c r="M411" s="213">
        <f t="shared" ca="1" si="207"/>
        <v>35.233565576390717</v>
      </c>
      <c r="N411" s="213">
        <f t="shared" ca="1" si="207"/>
        <v>36.564883803777107</v>
      </c>
      <c r="O411" s="213">
        <f t="shared" ca="1" si="207"/>
        <v>37.884045519729952</v>
      </c>
      <c r="P411" s="213">
        <f t="shared" ca="1" si="207"/>
        <v>39.178798817226252</v>
      </c>
    </row>
    <row r="412" spans="2:16" x14ac:dyDescent="0.3">
      <c r="B412" s="215" t="s">
        <v>403</v>
      </c>
      <c r="K412" s="149">
        <f ca="1">K410-K411</f>
        <v>1650.28569493383</v>
      </c>
      <c r="L412" s="149">
        <f t="shared" ref="L412:P412" ca="1" si="208">L410-L411</f>
        <v>1561.4380645389431</v>
      </c>
      <c r="M412" s="149">
        <f t="shared" ca="1" si="208"/>
        <v>1460.5799257909759</v>
      </c>
      <c r="N412" s="149">
        <f t="shared" ca="1" si="208"/>
        <v>1343.7203304046359</v>
      </c>
      <c r="O412" s="149">
        <f t="shared" ca="1" si="208"/>
        <v>1205.8607735492176</v>
      </c>
      <c r="P412" s="149">
        <f t="shared" ca="1" si="208"/>
        <v>1047.2974325370021</v>
      </c>
    </row>
    <row r="413" spans="2:16" x14ac:dyDescent="0.3">
      <c r="B413" s="215"/>
    </row>
    <row r="414" spans="2:16" x14ac:dyDescent="0.3">
      <c r="B414" s="214" t="s">
        <v>404</v>
      </c>
    </row>
    <row r="415" spans="2:16" x14ac:dyDescent="0.3">
      <c r="B415" s="215" t="s">
        <v>401</v>
      </c>
      <c r="K415" s="97">
        <f>K407</f>
        <v>4983.1402495170287</v>
      </c>
      <c r="L415" s="97">
        <f t="shared" ref="L415:P415" si="209">L407</f>
        <v>5446.0743631915229</v>
      </c>
      <c r="M415" s="97">
        <f t="shared" si="209"/>
        <v>5986.4085895268672</v>
      </c>
      <c r="N415" s="97">
        <f t="shared" si="209"/>
        <v>6569.1525620354632</v>
      </c>
      <c r="O415" s="97">
        <f t="shared" si="209"/>
        <v>7195.3172357412359</v>
      </c>
      <c r="P415" s="97">
        <f t="shared" si="209"/>
        <v>7865.6162286017561</v>
      </c>
    </row>
    <row r="416" spans="2:16" x14ac:dyDescent="0.3">
      <c r="B416" s="215" t="s">
        <v>35</v>
      </c>
      <c r="K416" s="213">
        <f ca="1">-K412</f>
        <v>-1650.28569493383</v>
      </c>
      <c r="L416" s="213">
        <f t="shared" ref="L416:P416" ca="1" si="210">-L412</f>
        <v>-1561.4380645389431</v>
      </c>
      <c r="M416" s="213">
        <f t="shared" ca="1" si="210"/>
        <v>-1460.5799257909759</v>
      </c>
      <c r="N416" s="213">
        <f t="shared" ca="1" si="210"/>
        <v>-1343.7203304046359</v>
      </c>
      <c r="O416" s="213">
        <f t="shared" ca="1" si="210"/>
        <v>-1205.8607735492176</v>
      </c>
      <c r="P416" s="213">
        <f t="shared" ca="1" si="210"/>
        <v>-1047.2974325370021</v>
      </c>
    </row>
    <row r="417" spans="2:16" x14ac:dyDescent="0.3">
      <c r="B417" s="215" t="s">
        <v>404</v>
      </c>
      <c r="K417" s="149">
        <f ca="1">SUM(K415:K416)</f>
        <v>3332.8545545831985</v>
      </c>
      <c r="L417" s="149">
        <f t="shared" ref="L417:P417" ca="1" si="211">SUM(L415:L416)</f>
        <v>3884.6362986525801</v>
      </c>
      <c r="M417" s="149">
        <f t="shared" ca="1" si="211"/>
        <v>4525.8286637358915</v>
      </c>
      <c r="N417" s="149">
        <f t="shared" ca="1" si="211"/>
        <v>5225.4322316308271</v>
      </c>
      <c r="O417" s="149">
        <f t="shared" ca="1" si="211"/>
        <v>5989.4564621920181</v>
      </c>
      <c r="P417" s="149">
        <f t="shared" ca="1" si="211"/>
        <v>6818.3187960647538</v>
      </c>
    </row>
    <row r="418" spans="2:16" x14ac:dyDescent="0.3">
      <c r="B418" s="215"/>
      <c r="K418" s="149"/>
      <c r="L418" s="149"/>
      <c r="M418" s="149"/>
      <c r="N418" s="149"/>
      <c r="O418" s="149"/>
      <c r="P418" s="149"/>
    </row>
    <row r="420" spans="2:16" ht="15" thickBot="1" x14ac:dyDescent="0.35">
      <c r="B420" s="226" t="s">
        <v>405</v>
      </c>
      <c r="C420" s="261" t="s">
        <v>63</v>
      </c>
      <c r="D420" s="261" t="s">
        <v>64</v>
      </c>
      <c r="J420" s="223" t="s">
        <v>397</v>
      </c>
      <c r="K420" s="225">
        <v>0</v>
      </c>
      <c r="L420" s="224">
        <v>1</v>
      </c>
      <c r="M420" s="224">
        <f>L420+1</f>
        <v>2</v>
      </c>
      <c r="N420" s="224">
        <f>M420+1</f>
        <v>3</v>
      </c>
      <c r="O420" s="224">
        <f>N420+1</f>
        <v>4</v>
      </c>
      <c r="P420" s="224">
        <f>O420+1</f>
        <v>5</v>
      </c>
    </row>
    <row r="421" spans="2:16" x14ac:dyDescent="0.3">
      <c r="B421" s="300">
        <v>5</v>
      </c>
      <c r="C421" s="18">
        <f ca="1">IFERROR(XIRR(J421:P421,$J$402:$P$402),"N/A")</f>
        <v>0.15088873505592348</v>
      </c>
      <c r="D421" s="24">
        <f t="shared" ref="D421:D426" ca="1" si="212">SUM(K421:P421)/-J421</f>
        <v>2.2455251669970728</v>
      </c>
      <c r="J421" s="107">
        <f ca="1">-'Transaction Details'!F12</f>
        <v>-3036.4027516925362</v>
      </c>
      <c r="K421" s="97">
        <f t="shared" ref="K421:O421" si="213">IF(K$420=$B421,K$417,0)</f>
        <v>0</v>
      </c>
      <c r="L421" s="97">
        <f t="shared" si="213"/>
        <v>0</v>
      </c>
      <c r="M421" s="97">
        <f t="shared" si="213"/>
        <v>0</v>
      </c>
      <c r="N421" s="97">
        <f t="shared" si="213"/>
        <v>0</v>
      </c>
      <c r="O421" s="97">
        <f t="shared" si="213"/>
        <v>0</v>
      </c>
      <c r="P421" s="97">
        <f t="shared" ref="P421" ca="1" si="214">IF(P$420=$B421,P$417,0)</f>
        <v>6818.3187960647538</v>
      </c>
    </row>
    <row r="422" spans="2:16" x14ac:dyDescent="0.3">
      <c r="B422" s="299">
        <f>B421-1</f>
        <v>4</v>
      </c>
      <c r="C422" s="18">
        <f t="shared" ref="C422:C425" ca="1" si="215">IFERROR(XIRR(J422:P422,$J$402:$P$402),"N/A")</f>
        <v>0.15353470444679265</v>
      </c>
      <c r="D422" s="24">
        <f t="shared" ca="1" si="212"/>
        <v>1.9725500705904069</v>
      </c>
      <c r="J422" s="97">
        <f ca="1">J421</f>
        <v>-3036.4027516925362</v>
      </c>
      <c r="K422" s="97">
        <v>0</v>
      </c>
      <c r="L422" s="97">
        <f>IF(L$420=$B422,L$417,0)</f>
        <v>0</v>
      </c>
      <c r="M422" s="97">
        <f>IF(M$420=$B422,M$417,0)</f>
        <v>0</v>
      </c>
      <c r="N422" s="97">
        <f>IF(N$420=$B422,N$417,0)</f>
        <v>0</v>
      </c>
      <c r="O422" s="97">
        <f ca="1">IF(O$420=$B422,O$417,0)</f>
        <v>5989.4564621920181</v>
      </c>
      <c r="P422" s="97"/>
    </row>
    <row r="423" spans="2:16" x14ac:dyDescent="0.3">
      <c r="B423" s="299">
        <f>B422-1</f>
        <v>3</v>
      </c>
      <c r="C423" s="18">
        <f t="shared" ca="1" si="215"/>
        <v>0.15549191832542422</v>
      </c>
      <c r="D423" s="24">
        <f t="shared" ca="1" si="212"/>
        <v>1.7209285654605908</v>
      </c>
      <c r="J423" s="97">
        <f t="shared" ref="J423:J426" ca="1" si="216">J422</f>
        <v>-3036.4027516925362</v>
      </c>
      <c r="K423" s="97">
        <f>IF(K$420=$B423,K$417,0)</f>
        <v>0</v>
      </c>
      <c r="L423" s="97">
        <f>IF(L$420=$B423,L$417,0)</f>
        <v>0</v>
      </c>
      <c r="M423" s="97">
        <f>IF(M$420=$B423,M$417,0)</f>
        <v>0</v>
      </c>
      <c r="N423" s="97">
        <f ca="1">IF(N$420=$B423,N$417,0)</f>
        <v>5225.4322316308271</v>
      </c>
      <c r="O423" s="97"/>
      <c r="P423" s="97"/>
    </row>
    <row r="424" spans="2:16" x14ac:dyDescent="0.3">
      <c r="B424" s="299">
        <f>B423-1</f>
        <v>2</v>
      </c>
      <c r="C424" s="18">
        <f t="shared" ca="1" si="215"/>
        <v>0.155822890996933</v>
      </c>
      <c r="D424" s="24">
        <f t="shared" ca="1" si="212"/>
        <v>1.4905231729266242</v>
      </c>
      <c r="J424" s="97">
        <f t="shared" ca="1" si="216"/>
        <v>-3036.4027516925362</v>
      </c>
      <c r="K424" s="97">
        <f>IF(K$420=$B424,K$417,0)</f>
        <v>0</v>
      </c>
      <c r="L424" s="97">
        <f>IF(L$420=$B424,L$417,0)</f>
        <v>0</v>
      </c>
      <c r="M424" s="97">
        <f ca="1">IF(M$420=$B424,M$417,0)</f>
        <v>4525.8286637358915</v>
      </c>
      <c r="N424" s="97"/>
      <c r="O424" s="97"/>
      <c r="P424" s="97"/>
    </row>
    <row r="425" spans="2:16" x14ac:dyDescent="0.3">
      <c r="B425" s="299">
        <f>B424-1</f>
        <v>1</v>
      </c>
      <c r="C425" s="18">
        <f t="shared" ca="1" si="215"/>
        <v>0.15084887146949771</v>
      </c>
      <c r="D425" s="24">
        <f t="shared" ca="1" si="212"/>
        <v>1.2793547550591653</v>
      </c>
      <c r="J425" s="97">
        <f t="shared" ca="1" si="216"/>
        <v>-3036.4027516925362</v>
      </c>
      <c r="K425" s="97">
        <f>IF(K$420=$B425,K$417,0)</f>
        <v>0</v>
      </c>
      <c r="L425" s="97">
        <f t="shared" ref="L425" ca="1" si="217">IF(L$420=$B425,L$417,0)</f>
        <v>3884.6362986525801</v>
      </c>
      <c r="M425" s="97"/>
      <c r="N425" s="97"/>
      <c r="O425" s="97"/>
      <c r="P425" s="97"/>
    </row>
    <row r="426" spans="2:16" x14ac:dyDescent="0.3">
      <c r="B426" s="299">
        <f>B425-1</f>
        <v>0</v>
      </c>
      <c r="C426" s="18">
        <f ca="1">IFERROR(XIRR(J426:P426,$J$402:$P$402),"N/A")</f>
        <v>0.1316117584705353</v>
      </c>
      <c r="D426" s="24">
        <f t="shared" ca="1" si="212"/>
        <v>1.0976325695678597</v>
      </c>
      <c r="J426" s="97">
        <f t="shared" ca="1" si="216"/>
        <v>-3036.4027516925362</v>
      </c>
      <c r="K426" s="97">
        <f ca="1">IF(K$420=$B426,K$417,0)</f>
        <v>3332.8545545831985</v>
      </c>
      <c r="L426" s="97"/>
      <c r="M426" s="97"/>
      <c r="N426" s="97"/>
      <c r="O426" s="97"/>
      <c r="P426" s="97"/>
    </row>
    <row r="427" spans="2:16" x14ac:dyDescent="0.3">
      <c r="C427" s="18"/>
      <c r="J427" s="97"/>
      <c r="K427" s="97"/>
      <c r="L427" s="97"/>
      <c r="M427" s="97"/>
      <c r="N427" s="97"/>
      <c r="O427" s="97"/>
    </row>
    <row r="428" spans="2:16" x14ac:dyDescent="0.3">
      <c r="J428" s="149"/>
    </row>
    <row r="431" spans="2:16" x14ac:dyDescent="0.3">
      <c r="J431" s="97"/>
    </row>
    <row r="432" spans="2:16" x14ac:dyDescent="0.3">
      <c r="J432" s="97"/>
    </row>
    <row r="433" spans="10:10" x14ac:dyDescent="0.3">
      <c r="J433" s="149"/>
    </row>
  </sheetData>
  <sortState xmlns:xlrd2="http://schemas.microsoft.com/office/spreadsheetml/2017/richdata2" ref="J294:P308">
    <sortCondition ref="J294:J308"/>
  </sortState>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9749F-CC97-400A-9D2E-F8C012A4852D}">
  <dimension ref="B2:M237"/>
  <sheetViews>
    <sheetView showGridLines="0" zoomScale="48" zoomScaleNormal="70" workbookViewId="0">
      <selection activeCell="X63" sqref="X63"/>
    </sheetView>
  </sheetViews>
  <sheetFormatPr defaultColWidth="8.6640625" defaultRowHeight="14.4" x14ac:dyDescent="0.3"/>
  <cols>
    <col min="1" max="1" width="8.6640625" style="350"/>
    <col min="2" max="2" width="16.33203125" style="350" bestFit="1" customWidth="1"/>
    <col min="3" max="3" width="23.33203125" style="350" bestFit="1" customWidth="1"/>
    <col min="4" max="4" width="18.33203125" style="350" bestFit="1" customWidth="1"/>
    <col min="5" max="16384" width="8.6640625" style="350"/>
  </cols>
  <sheetData>
    <row r="2" spans="2:4" x14ac:dyDescent="0.3">
      <c r="B2" s="349" t="s">
        <v>406</v>
      </c>
    </row>
    <row r="5" spans="2:4" x14ac:dyDescent="0.3">
      <c r="B5" s="351" t="s">
        <v>407</v>
      </c>
      <c r="C5" s="352" t="s">
        <v>408</v>
      </c>
      <c r="D5" s="352" t="s">
        <v>409</v>
      </c>
    </row>
    <row r="6" spans="2:4" x14ac:dyDescent="0.3">
      <c r="B6" s="353">
        <v>45729</v>
      </c>
      <c r="C6" s="353">
        <v>25.24</v>
      </c>
      <c r="D6" s="354">
        <v>87796</v>
      </c>
    </row>
    <row r="7" spans="2:4" x14ac:dyDescent="0.3">
      <c r="B7" s="353">
        <v>45730</v>
      </c>
      <c r="C7" s="353">
        <v>25.58</v>
      </c>
      <c r="D7" s="354">
        <v>89554</v>
      </c>
    </row>
    <row r="8" spans="2:4" x14ac:dyDescent="0.3">
      <c r="B8" s="353">
        <v>45733</v>
      </c>
      <c r="C8" s="353">
        <v>25.24</v>
      </c>
      <c r="D8" s="354">
        <v>133428</v>
      </c>
    </row>
    <row r="9" spans="2:4" x14ac:dyDescent="0.3">
      <c r="B9" s="353">
        <v>45734</v>
      </c>
      <c r="C9" s="353">
        <v>25.16</v>
      </c>
      <c r="D9" s="354">
        <v>395307</v>
      </c>
    </row>
    <row r="10" spans="2:4" x14ac:dyDescent="0.3">
      <c r="B10" s="353">
        <v>45735</v>
      </c>
      <c r="C10" s="353">
        <v>25.18</v>
      </c>
      <c r="D10" s="354">
        <v>239020</v>
      </c>
    </row>
    <row r="11" spans="2:4" x14ac:dyDescent="0.3">
      <c r="B11" s="353">
        <v>45736</v>
      </c>
      <c r="C11" s="353">
        <v>24.94</v>
      </c>
      <c r="D11" s="354">
        <v>218991</v>
      </c>
    </row>
    <row r="12" spans="2:4" x14ac:dyDescent="0.3">
      <c r="B12" s="353">
        <v>45737</v>
      </c>
      <c r="C12" s="353">
        <v>24.58</v>
      </c>
      <c r="D12" s="354">
        <v>134418</v>
      </c>
    </row>
    <row r="13" spans="2:4" x14ac:dyDescent="0.3">
      <c r="B13" s="353">
        <v>45740</v>
      </c>
      <c r="C13" s="353">
        <v>24.68</v>
      </c>
      <c r="D13" s="354">
        <v>118892</v>
      </c>
    </row>
    <row r="14" spans="2:4" x14ac:dyDescent="0.3">
      <c r="B14" s="353">
        <v>45741</v>
      </c>
      <c r="C14" s="353">
        <v>24.14</v>
      </c>
      <c r="D14" s="354">
        <v>188596</v>
      </c>
    </row>
    <row r="15" spans="2:4" x14ac:dyDescent="0.3">
      <c r="B15" s="353">
        <v>45742</v>
      </c>
      <c r="C15" s="353">
        <v>24</v>
      </c>
      <c r="D15" s="354">
        <v>125545</v>
      </c>
    </row>
    <row r="16" spans="2:4" x14ac:dyDescent="0.3">
      <c r="B16" s="353">
        <v>45743</v>
      </c>
      <c r="C16" s="353">
        <v>24.16</v>
      </c>
      <c r="D16" s="354">
        <v>109616</v>
      </c>
    </row>
    <row r="17" spans="2:4" x14ac:dyDescent="0.3">
      <c r="B17" s="353">
        <v>45744</v>
      </c>
      <c r="C17" s="353">
        <v>23.84</v>
      </c>
      <c r="D17" s="354">
        <v>276190</v>
      </c>
    </row>
    <row r="18" spans="2:4" x14ac:dyDescent="0.3">
      <c r="B18" s="353">
        <v>45747</v>
      </c>
      <c r="C18" s="353">
        <v>23.18</v>
      </c>
      <c r="D18" s="354">
        <v>103386</v>
      </c>
    </row>
    <row r="19" spans="2:4" x14ac:dyDescent="0.3">
      <c r="B19" s="353">
        <v>45748</v>
      </c>
      <c r="C19" s="353">
        <v>23.04</v>
      </c>
      <c r="D19" s="354">
        <v>94474</v>
      </c>
    </row>
    <row r="20" spans="2:4" x14ac:dyDescent="0.3">
      <c r="B20" s="353">
        <v>45749</v>
      </c>
      <c r="C20" s="353">
        <v>22.94</v>
      </c>
      <c r="D20" s="354">
        <v>174126</v>
      </c>
    </row>
    <row r="21" spans="2:4" x14ac:dyDescent="0.3">
      <c r="B21" s="353">
        <v>45750</v>
      </c>
      <c r="C21" s="353">
        <v>21.16</v>
      </c>
      <c r="D21" s="354">
        <v>472575</v>
      </c>
    </row>
    <row r="22" spans="2:4" x14ac:dyDescent="0.3">
      <c r="B22" s="353">
        <v>45751</v>
      </c>
      <c r="C22" s="353">
        <v>20.5</v>
      </c>
      <c r="D22" s="354">
        <v>313525</v>
      </c>
    </row>
    <row r="23" spans="2:4" x14ac:dyDescent="0.3">
      <c r="B23" s="353">
        <v>45754</v>
      </c>
      <c r="C23" s="353">
        <v>19.91</v>
      </c>
      <c r="D23" s="354">
        <v>144679</v>
      </c>
    </row>
    <row r="24" spans="2:4" x14ac:dyDescent="0.3">
      <c r="B24" s="353">
        <v>45755</v>
      </c>
      <c r="C24" s="353">
        <v>19.899999999999999</v>
      </c>
      <c r="D24" s="354">
        <v>217683</v>
      </c>
    </row>
    <row r="25" spans="2:4" x14ac:dyDescent="0.3">
      <c r="B25" s="353">
        <v>45756</v>
      </c>
      <c r="C25" s="353">
        <v>19.09</v>
      </c>
      <c r="D25" s="354">
        <v>137323</v>
      </c>
    </row>
    <row r="26" spans="2:4" x14ac:dyDescent="0.3">
      <c r="B26" s="353">
        <v>45757</v>
      </c>
      <c r="C26" s="353">
        <v>20.84</v>
      </c>
      <c r="D26" s="354">
        <v>157676</v>
      </c>
    </row>
    <row r="27" spans="2:4" x14ac:dyDescent="0.3">
      <c r="B27" s="353">
        <v>45758</v>
      </c>
      <c r="C27" s="353">
        <v>19.53</v>
      </c>
      <c r="D27" s="354">
        <v>303322</v>
      </c>
    </row>
    <row r="28" spans="2:4" x14ac:dyDescent="0.3">
      <c r="B28" s="353">
        <v>45761</v>
      </c>
      <c r="C28" s="353">
        <v>20.440000000000001</v>
      </c>
      <c r="D28" s="354">
        <v>137785</v>
      </c>
    </row>
    <row r="29" spans="2:4" x14ac:dyDescent="0.3">
      <c r="B29" s="353">
        <v>45762</v>
      </c>
      <c r="C29" s="353">
        <v>20.64</v>
      </c>
      <c r="D29" s="354">
        <v>139586</v>
      </c>
    </row>
    <row r="30" spans="2:4" x14ac:dyDescent="0.3">
      <c r="B30" s="353">
        <v>45763</v>
      </c>
      <c r="C30" s="353">
        <v>20.78</v>
      </c>
      <c r="D30" s="354">
        <v>347391</v>
      </c>
    </row>
    <row r="31" spans="2:4" x14ac:dyDescent="0.3">
      <c r="B31" s="353">
        <v>45764</v>
      </c>
      <c r="C31" s="353">
        <v>19.87</v>
      </c>
      <c r="D31" s="354">
        <v>193808</v>
      </c>
    </row>
    <row r="32" spans="2:4" x14ac:dyDescent="0.3">
      <c r="B32" s="353">
        <v>45769</v>
      </c>
      <c r="C32" s="353">
        <v>19.579999999999998</v>
      </c>
      <c r="D32" s="354">
        <v>231554</v>
      </c>
    </row>
    <row r="33" spans="2:4" x14ac:dyDescent="0.3">
      <c r="B33" s="353">
        <v>45770</v>
      </c>
      <c r="C33" s="353">
        <v>19.96</v>
      </c>
      <c r="D33" s="354">
        <v>511909</v>
      </c>
    </row>
    <row r="34" spans="2:4" x14ac:dyDescent="0.3">
      <c r="B34" s="353">
        <v>45771</v>
      </c>
      <c r="C34" s="353">
        <v>20.260000000000002</v>
      </c>
      <c r="D34" s="354">
        <v>308279</v>
      </c>
    </row>
    <row r="35" spans="2:4" x14ac:dyDescent="0.3">
      <c r="B35" s="353">
        <v>45772</v>
      </c>
      <c r="C35" s="353">
        <v>20.420000000000002</v>
      </c>
      <c r="D35" s="354">
        <v>245012</v>
      </c>
    </row>
    <row r="36" spans="2:4" x14ac:dyDescent="0.3">
      <c r="B36" s="353">
        <v>45775</v>
      </c>
      <c r="C36" s="353">
        <v>20.22</v>
      </c>
      <c r="D36" s="354">
        <v>256679</v>
      </c>
    </row>
    <row r="37" spans="2:4" x14ac:dyDescent="0.3">
      <c r="B37" s="353">
        <v>45776</v>
      </c>
      <c r="C37" s="353">
        <v>20.02</v>
      </c>
      <c r="D37" s="354">
        <v>121901</v>
      </c>
    </row>
    <row r="38" spans="2:4" x14ac:dyDescent="0.3">
      <c r="B38" s="353">
        <v>45777</v>
      </c>
      <c r="C38" s="353">
        <v>20</v>
      </c>
      <c r="D38" s="354">
        <v>65236</v>
      </c>
    </row>
    <row r="39" spans="2:4" x14ac:dyDescent="0.3">
      <c r="B39" s="353">
        <v>45778</v>
      </c>
      <c r="C39" s="353">
        <v>20.82</v>
      </c>
      <c r="D39" s="354">
        <v>131746</v>
      </c>
    </row>
    <row r="40" spans="2:4" x14ac:dyDescent="0.3">
      <c r="B40" s="353">
        <v>45779</v>
      </c>
      <c r="C40" s="353">
        <v>20.3</v>
      </c>
      <c r="D40" s="354">
        <v>111179</v>
      </c>
    </row>
    <row r="41" spans="2:4" x14ac:dyDescent="0.3">
      <c r="B41" s="353">
        <v>45783</v>
      </c>
      <c r="C41" s="353">
        <v>20.260000000000002</v>
      </c>
      <c r="D41" s="354">
        <v>100387</v>
      </c>
    </row>
    <row r="42" spans="2:4" x14ac:dyDescent="0.3">
      <c r="B42" s="353">
        <v>45784</v>
      </c>
      <c r="C42" s="353">
        <v>20.02</v>
      </c>
      <c r="D42" s="354">
        <v>354045</v>
      </c>
    </row>
    <row r="43" spans="2:4" x14ac:dyDescent="0.3">
      <c r="B43" s="353">
        <v>45785</v>
      </c>
      <c r="C43" s="353">
        <v>20.54</v>
      </c>
      <c r="D43" s="355">
        <v>168433</v>
      </c>
    </row>
    <row r="44" spans="2:4" x14ac:dyDescent="0.3">
      <c r="B44" s="353">
        <v>45786</v>
      </c>
      <c r="C44" s="353">
        <v>20.92</v>
      </c>
      <c r="D44" s="354">
        <v>144682</v>
      </c>
    </row>
    <row r="45" spans="2:4" x14ac:dyDescent="0.3">
      <c r="B45" s="353">
        <v>45789</v>
      </c>
      <c r="C45" s="353">
        <v>21.92</v>
      </c>
      <c r="D45" s="354">
        <v>242671</v>
      </c>
    </row>
    <row r="46" spans="2:4" x14ac:dyDescent="0.3">
      <c r="B46" s="353">
        <v>45790</v>
      </c>
      <c r="C46" s="353">
        <v>22.16</v>
      </c>
      <c r="D46" s="354">
        <v>113656</v>
      </c>
    </row>
    <row r="47" spans="2:4" x14ac:dyDescent="0.3">
      <c r="B47" s="353">
        <v>45791</v>
      </c>
      <c r="C47" s="353">
        <v>21.86</v>
      </c>
      <c r="D47" s="354">
        <v>485196</v>
      </c>
    </row>
    <row r="48" spans="2:4" x14ac:dyDescent="0.3">
      <c r="B48" s="353">
        <v>45792</v>
      </c>
      <c r="C48" s="353">
        <v>20.78</v>
      </c>
      <c r="D48" s="354">
        <v>423779</v>
      </c>
    </row>
    <row r="49" spans="2:4" x14ac:dyDescent="0.3">
      <c r="B49" s="353">
        <v>45793</v>
      </c>
      <c r="C49" s="353">
        <v>20.7</v>
      </c>
      <c r="D49" s="354">
        <v>465382</v>
      </c>
    </row>
    <row r="50" spans="2:4" x14ac:dyDescent="0.3">
      <c r="B50" s="353">
        <v>45796</v>
      </c>
      <c r="C50" s="353">
        <v>20.48</v>
      </c>
      <c r="D50" s="354">
        <v>525055</v>
      </c>
    </row>
    <row r="51" spans="2:4" x14ac:dyDescent="0.3">
      <c r="B51" s="353">
        <v>45797</v>
      </c>
      <c r="C51" s="353">
        <v>20.52</v>
      </c>
      <c r="D51" s="354">
        <v>370751</v>
      </c>
    </row>
    <row r="52" spans="2:4" x14ac:dyDescent="0.3">
      <c r="B52" s="353">
        <v>45798</v>
      </c>
      <c r="C52" s="353">
        <v>20.440000000000001</v>
      </c>
      <c r="D52" s="354">
        <v>307067</v>
      </c>
    </row>
    <row r="53" spans="2:4" x14ac:dyDescent="0.3">
      <c r="B53" s="353">
        <v>45799</v>
      </c>
      <c r="C53" s="353">
        <v>19.940000000000001</v>
      </c>
      <c r="D53" s="354">
        <v>231798</v>
      </c>
    </row>
    <row r="54" spans="2:4" x14ac:dyDescent="0.3">
      <c r="B54" s="353">
        <v>45800</v>
      </c>
      <c r="C54" s="353">
        <v>19.52</v>
      </c>
      <c r="D54" s="354">
        <v>286181</v>
      </c>
    </row>
    <row r="55" spans="2:4" x14ac:dyDescent="0.3">
      <c r="B55" s="353">
        <v>45804</v>
      </c>
      <c r="C55" s="353">
        <v>20.38</v>
      </c>
      <c r="D55" s="354">
        <v>204898</v>
      </c>
    </row>
    <row r="56" spans="2:4" x14ac:dyDescent="0.3">
      <c r="B56" s="353">
        <v>45805</v>
      </c>
      <c r="C56" s="353">
        <v>20.16</v>
      </c>
      <c r="D56" s="354">
        <v>216766</v>
      </c>
    </row>
    <row r="57" spans="2:4" x14ac:dyDescent="0.3">
      <c r="B57" s="353">
        <v>45806</v>
      </c>
      <c r="C57" s="353">
        <v>20.2</v>
      </c>
      <c r="D57" s="354">
        <v>259520</v>
      </c>
    </row>
    <row r="58" spans="2:4" x14ac:dyDescent="0.3">
      <c r="B58" s="353">
        <v>45807</v>
      </c>
      <c r="C58" s="353">
        <v>20.04</v>
      </c>
      <c r="D58" s="354">
        <v>182140</v>
      </c>
    </row>
    <row r="59" spans="2:4" x14ac:dyDescent="0.3">
      <c r="B59" s="353">
        <v>45810</v>
      </c>
      <c r="C59" s="353">
        <v>20.32</v>
      </c>
      <c r="D59" s="354">
        <v>210915</v>
      </c>
    </row>
    <row r="60" spans="2:4" x14ac:dyDescent="0.3">
      <c r="B60" s="353">
        <v>45811</v>
      </c>
      <c r="C60" s="353">
        <v>20.28</v>
      </c>
      <c r="D60" s="354">
        <v>177405</v>
      </c>
    </row>
    <row r="61" spans="2:4" x14ac:dyDescent="0.3">
      <c r="B61" s="353">
        <v>45812</v>
      </c>
      <c r="C61" s="353">
        <v>20.399999999999999</v>
      </c>
      <c r="D61" s="354">
        <v>559302</v>
      </c>
    </row>
    <row r="62" spans="2:4" x14ac:dyDescent="0.3">
      <c r="B62" s="353">
        <v>45813</v>
      </c>
      <c r="C62" s="353">
        <v>20.260000000000002</v>
      </c>
      <c r="D62" s="354">
        <v>519002</v>
      </c>
    </row>
    <row r="63" spans="2:4" x14ac:dyDescent="0.3">
      <c r="B63" s="353">
        <v>45814</v>
      </c>
      <c r="C63" s="353">
        <v>20.38</v>
      </c>
      <c r="D63" s="354">
        <v>145854</v>
      </c>
    </row>
    <row r="64" spans="2:4" x14ac:dyDescent="0.3">
      <c r="B64" s="353">
        <v>45817</v>
      </c>
      <c r="C64" s="353">
        <v>32.64</v>
      </c>
      <c r="D64" s="354">
        <v>192134</v>
      </c>
    </row>
    <row r="65" spans="2:8" x14ac:dyDescent="0.3">
      <c r="B65" s="353">
        <v>45818</v>
      </c>
      <c r="C65" s="353">
        <v>32.04</v>
      </c>
      <c r="D65" s="354">
        <v>144018</v>
      </c>
    </row>
    <row r="66" spans="2:8" x14ac:dyDescent="0.3">
      <c r="B66" s="353">
        <v>45819</v>
      </c>
      <c r="C66" s="353">
        <v>32.1</v>
      </c>
      <c r="D66" s="354">
        <v>237298</v>
      </c>
    </row>
    <row r="67" spans="2:8" x14ac:dyDescent="0.3">
      <c r="B67" s="353">
        <v>45820</v>
      </c>
      <c r="C67" s="353">
        <v>32.18</v>
      </c>
      <c r="D67" s="354">
        <v>162195</v>
      </c>
    </row>
    <row r="68" spans="2:8" x14ac:dyDescent="0.3">
      <c r="B68" s="353">
        <v>45821</v>
      </c>
      <c r="C68" s="353">
        <v>31.58</v>
      </c>
      <c r="D68" s="354">
        <v>282041</v>
      </c>
    </row>
    <row r="69" spans="2:8" x14ac:dyDescent="0.3">
      <c r="B69" s="353">
        <v>45824</v>
      </c>
      <c r="C69" s="353">
        <v>33.42</v>
      </c>
      <c r="D69" s="354">
        <v>305934</v>
      </c>
    </row>
    <row r="70" spans="2:8" x14ac:dyDescent="0.3">
      <c r="B70" s="353">
        <v>45825</v>
      </c>
      <c r="C70" s="353">
        <v>33.1</v>
      </c>
      <c r="D70" s="354">
        <v>250748</v>
      </c>
    </row>
    <row r="71" spans="2:8" x14ac:dyDescent="0.3">
      <c r="B71" s="353">
        <v>45826</v>
      </c>
      <c r="C71" s="353">
        <v>33.46</v>
      </c>
      <c r="D71" s="354">
        <v>448491</v>
      </c>
    </row>
    <row r="72" spans="2:8" x14ac:dyDescent="0.3">
      <c r="B72" s="353">
        <v>45827</v>
      </c>
      <c r="C72" s="353">
        <v>33.4</v>
      </c>
      <c r="D72" s="354">
        <v>344277</v>
      </c>
    </row>
    <row r="73" spans="2:8" x14ac:dyDescent="0.3">
      <c r="B73" s="353">
        <v>45828</v>
      </c>
      <c r="C73" s="353">
        <v>32.82</v>
      </c>
      <c r="D73" s="354">
        <v>540765</v>
      </c>
      <c r="E73" s="356"/>
      <c r="F73" s="356"/>
      <c r="G73" s="356"/>
      <c r="H73" s="356"/>
    </row>
    <row r="74" spans="2:8" x14ac:dyDescent="0.3">
      <c r="B74" s="353">
        <v>45831</v>
      </c>
      <c r="C74" s="353">
        <v>37.979999999999997</v>
      </c>
      <c r="D74" s="354">
        <v>308598</v>
      </c>
    </row>
    <row r="75" spans="2:8" x14ac:dyDescent="0.3">
      <c r="B75" s="353">
        <v>45832</v>
      </c>
      <c r="C75" s="353">
        <v>38.14</v>
      </c>
      <c r="D75" s="354">
        <v>556265</v>
      </c>
    </row>
    <row r="76" spans="2:8" x14ac:dyDescent="0.3">
      <c r="B76" s="353">
        <v>45833</v>
      </c>
      <c r="C76" s="353">
        <v>38.159999999999997</v>
      </c>
      <c r="D76" s="354">
        <v>347274</v>
      </c>
    </row>
    <row r="77" spans="2:8" x14ac:dyDescent="0.3">
      <c r="B77" s="353">
        <v>45834</v>
      </c>
      <c r="C77" s="353">
        <v>38.76</v>
      </c>
      <c r="D77" s="354">
        <v>368749</v>
      </c>
    </row>
    <row r="78" spans="2:8" x14ac:dyDescent="0.3">
      <c r="B78" s="353">
        <v>45835</v>
      </c>
      <c r="C78" s="353">
        <v>38.54</v>
      </c>
      <c r="D78" s="354">
        <v>397321</v>
      </c>
    </row>
    <row r="79" spans="2:8" x14ac:dyDescent="0.3">
      <c r="B79" s="353">
        <v>45838</v>
      </c>
      <c r="C79" s="353">
        <v>38.380000000000003</v>
      </c>
      <c r="D79" s="354">
        <v>186145</v>
      </c>
    </row>
    <row r="80" spans="2:8" x14ac:dyDescent="0.3">
      <c r="B80" s="353">
        <v>45839</v>
      </c>
      <c r="C80" s="353">
        <v>38.299999999999997</v>
      </c>
      <c r="D80" s="354">
        <v>239461</v>
      </c>
    </row>
    <row r="81" spans="2:13" x14ac:dyDescent="0.3">
      <c r="B81" s="353">
        <v>45840</v>
      </c>
      <c r="C81" s="353">
        <v>39.72</v>
      </c>
      <c r="D81" s="354">
        <v>208375</v>
      </c>
    </row>
    <row r="82" spans="2:13" x14ac:dyDescent="0.3">
      <c r="B82" s="353">
        <v>45841</v>
      </c>
      <c r="C82" s="353">
        <v>40</v>
      </c>
      <c r="D82" s="354">
        <v>194461</v>
      </c>
    </row>
    <row r="83" spans="2:13" x14ac:dyDescent="0.3">
      <c r="B83" s="353">
        <v>45842</v>
      </c>
      <c r="C83" s="353">
        <v>40.18</v>
      </c>
      <c r="D83" s="354">
        <v>225823</v>
      </c>
    </row>
    <row r="84" spans="2:13" x14ac:dyDescent="0.3">
      <c r="B84" s="353">
        <v>45845</v>
      </c>
      <c r="C84" s="353">
        <v>39.799999999999997</v>
      </c>
      <c r="D84" s="354">
        <v>164057</v>
      </c>
    </row>
    <row r="85" spans="2:13" x14ac:dyDescent="0.3">
      <c r="B85" s="353">
        <v>45846</v>
      </c>
      <c r="C85" s="353">
        <v>39.880000000000003</v>
      </c>
      <c r="D85" s="354">
        <v>184500</v>
      </c>
    </row>
    <row r="86" spans="2:13" x14ac:dyDescent="0.3">
      <c r="B86" s="353">
        <v>45847</v>
      </c>
      <c r="C86" s="353">
        <v>39.799999999999997</v>
      </c>
      <c r="D86" s="354">
        <v>170531</v>
      </c>
    </row>
    <row r="87" spans="2:13" x14ac:dyDescent="0.3">
      <c r="B87" s="353">
        <v>45848</v>
      </c>
      <c r="C87" s="353">
        <v>39.86</v>
      </c>
      <c r="D87" s="354">
        <v>278312</v>
      </c>
    </row>
    <row r="88" spans="2:13" x14ac:dyDescent="0.3">
      <c r="B88" s="353">
        <v>45849</v>
      </c>
      <c r="C88" s="353">
        <v>39.799999999999997</v>
      </c>
      <c r="D88" s="354">
        <v>398719</v>
      </c>
    </row>
    <row r="89" spans="2:13" x14ac:dyDescent="0.3">
      <c r="B89" s="353">
        <v>45852</v>
      </c>
      <c r="C89" s="353">
        <v>39.799999999999997</v>
      </c>
      <c r="D89" s="354">
        <v>157014</v>
      </c>
    </row>
    <row r="90" spans="2:13" x14ac:dyDescent="0.3">
      <c r="B90" s="353">
        <v>45853</v>
      </c>
      <c r="C90" s="353">
        <v>39.76</v>
      </c>
      <c r="D90" s="354">
        <v>435930</v>
      </c>
    </row>
    <row r="91" spans="2:13" x14ac:dyDescent="0.3">
      <c r="B91" s="353">
        <v>45854</v>
      </c>
      <c r="C91" s="353">
        <v>39.74</v>
      </c>
      <c r="D91" s="354">
        <v>183564</v>
      </c>
    </row>
    <row r="92" spans="2:13" x14ac:dyDescent="0.3">
      <c r="B92" s="353">
        <v>45855</v>
      </c>
      <c r="C92" s="353">
        <v>39.700000000000003</v>
      </c>
      <c r="D92" s="354">
        <v>254972</v>
      </c>
      <c r="M92" s="350" t="s">
        <v>410</v>
      </c>
    </row>
    <row r="93" spans="2:13" x14ac:dyDescent="0.3">
      <c r="B93" s="353">
        <v>45856</v>
      </c>
      <c r="C93" s="353">
        <v>39.72</v>
      </c>
      <c r="D93" s="354">
        <v>362032</v>
      </c>
    </row>
    <row r="94" spans="2:13" x14ac:dyDescent="0.3">
      <c r="B94" s="353">
        <v>45859</v>
      </c>
      <c r="C94" s="353">
        <v>39.700000000000003</v>
      </c>
      <c r="D94" s="354">
        <v>197302</v>
      </c>
    </row>
    <row r="95" spans="2:13" x14ac:dyDescent="0.3">
      <c r="B95" s="353">
        <v>45860</v>
      </c>
      <c r="C95" s="353">
        <v>39.64</v>
      </c>
      <c r="D95" s="354">
        <v>431831</v>
      </c>
    </row>
    <row r="96" spans="2:13" x14ac:dyDescent="0.3">
      <c r="B96" s="353">
        <v>45861</v>
      </c>
      <c r="C96" s="353">
        <v>39.74</v>
      </c>
      <c r="D96" s="354">
        <v>338422</v>
      </c>
    </row>
    <row r="97" spans="2:4" x14ac:dyDescent="0.3">
      <c r="B97" s="353">
        <v>45862</v>
      </c>
      <c r="C97" s="353">
        <v>39.74</v>
      </c>
      <c r="D97" s="354">
        <v>563072</v>
      </c>
    </row>
    <row r="98" spans="2:4" x14ac:dyDescent="0.3">
      <c r="B98" s="353">
        <v>45863</v>
      </c>
      <c r="C98" s="353">
        <v>39.799999999999997</v>
      </c>
      <c r="D98" s="354">
        <v>268364</v>
      </c>
    </row>
    <row r="99" spans="2:4" x14ac:dyDescent="0.3">
      <c r="B99" s="353">
        <v>45866</v>
      </c>
      <c r="C99" s="353">
        <v>39.78</v>
      </c>
      <c r="D99" s="354">
        <v>208051</v>
      </c>
    </row>
    <row r="100" spans="2:4" x14ac:dyDescent="0.3">
      <c r="B100" s="353">
        <v>45867</v>
      </c>
      <c r="C100" s="353">
        <v>39.880000000000003</v>
      </c>
      <c r="D100" s="354">
        <v>215605</v>
      </c>
    </row>
    <row r="101" spans="2:4" x14ac:dyDescent="0.3">
      <c r="B101" s="353">
        <v>45868</v>
      </c>
      <c r="C101" s="353">
        <v>39.92</v>
      </c>
      <c r="D101" s="354">
        <v>352260</v>
      </c>
    </row>
    <row r="102" spans="2:4" x14ac:dyDescent="0.3">
      <c r="B102" s="353">
        <v>45869</v>
      </c>
      <c r="C102" s="353">
        <v>39.9</v>
      </c>
      <c r="D102" s="354">
        <v>270393</v>
      </c>
    </row>
    <row r="103" spans="2:4" x14ac:dyDescent="0.3">
      <c r="B103" s="353">
        <v>45870</v>
      </c>
      <c r="C103" s="353">
        <v>40.78</v>
      </c>
      <c r="D103" s="354">
        <v>169621</v>
      </c>
    </row>
    <row r="104" spans="2:4" x14ac:dyDescent="0.3">
      <c r="B104" s="353">
        <v>45873</v>
      </c>
      <c r="C104" s="353">
        <v>40.82</v>
      </c>
      <c r="D104" s="354">
        <v>256735</v>
      </c>
    </row>
    <row r="105" spans="2:4" x14ac:dyDescent="0.3">
      <c r="B105" s="353">
        <v>45874</v>
      </c>
      <c r="C105" s="353">
        <v>41.1</v>
      </c>
      <c r="D105" s="354">
        <v>162651</v>
      </c>
    </row>
    <row r="106" spans="2:4" x14ac:dyDescent="0.3">
      <c r="B106" s="353">
        <v>45875</v>
      </c>
      <c r="C106" s="353">
        <v>41.34</v>
      </c>
      <c r="D106" s="354">
        <v>155174</v>
      </c>
    </row>
    <row r="107" spans="2:4" x14ac:dyDescent="0.3">
      <c r="B107" s="353">
        <v>45876</v>
      </c>
      <c r="C107" s="353">
        <v>41.6</v>
      </c>
      <c r="D107" s="354">
        <v>123531</v>
      </c>
    </row>
    <row r="108" spans="2:4" x14ac:dyDescent="0.3">
      <c r="B108" s="353">
        <v>45877</v>
      </c>
      <c r="C108" s="353">
        <v>41.66</v>
      </c>
      <c r="D108" s="354">
        <v>165567</v>
      </c>
    </row>
    <row r="109" spans="2:4" x14ac:dyDescent="0.3">
      <c r="B109" s="353">
        <v>45880</v>
      </c>
      <c r="C109" s="353">
        <v>40.340000000000003</v>
      </c>
      <c r="D109" s="354">
        <v>383957</v>
      </c>
    </row>
    <row r="110" spans="2:4" x14ac:dyDescent="0.3">
      <c r="B110" s="353">
        <v>45881</v>
      </c>
      <c r="C110" s="353">
        <v>40.32</v>
      </c>
      <c r="D110" s="354">
        <v>169780</v>
      </c>
    </row>
    <row r="111" spans="2:4" x14ac:dyDescent="0.3">
      <c r="B111" s="353">
        <v>45882</v>
      </c>
      <c r="C111" s="353">
        <v>40.32</v>
      </c>
      <c r="D111" s="354">
        <v>171127</v>
      </c>
    </row>
    <row r="112" spans="2:4" x14ac:dyDescent="0.3">
      <c r="B112" s="353">
        <v>45883</v>
      </c>
      <c r="C112" s="353">
        <v>40.26</v>
      </c>
      <c r="D112" s="354">
        <v>257606</v>
      </c>
    </row>
    <row r="113" spans="2:4" x14ac:dyDescent="0.3">
      <c r="B113" s="353">
        <v>45884</v>
      </c>
      <c r="C113" s="353">
        <v>40.32</v>
      </c>
      <c r="D113" s="354">
        <v>170175</v>
      </c>
    </row>
    <row r="114" spans="2:4" x14ac:dyDescent="0.3">
      <c r="B114" s="353">
        <v>45887</v>
      </c>
      <c r="C114" s="353">
        <v>40.32</v>
      </c>
      <c r="D114" s="354">
        <v>1503668</v>
      </c>
    </row>
    <row r="115" spans="2:4" x14ac:dyDescent="0.3">
      <c r="B115" s="353">
        <v>45888</v>
      </c>
      <c r="C115" s="353">
        <v>40.299999999999997</v>
      </c>
      <c r="D115" s="354">
        <v>1197665</v>
      </c>
    </row>
    <row r="116" spans="2:4" x14ac:dyDescent="0.3">
      <c r="B116" s="353">
        <v>45889</v>
      </c>
      <c r="C116" s="353">
        <v>40.4</v>
      </c>
      <c r="D116" s="354">
        <v>579408</v>
      </c>
    </row>
    <row r="117" spans="2:4" x14ac:dyDescent="0.3">
      <c r="B117" s="353">
        <v>45890</v>
      </c>
      <c r="C117" s="353">
        <v>40.380000000000003</v>
      </c>
      <c r="D117" s="354">
        <v>361203</v>
      </c>
    </row>
    <row r="118" spans="2:4" x14ac:dyDescent="0.3">
      <c r="B118" s="353">
        <v>45891</v>
      </c>
      <c r="C118" s="353">
        <v>40.42</v>
      </c>
      <c r="D118" s="354">
        <v>445283</v>
      </c>
    </row>
    <row r="119" spans="2:4" x14ac:dyDescent="0.3">
      <c r="B119" s="353">
        <v>45895</v>
      </c>
      <c r="C119" s="353">
        <v>40.4</v>
      </c>
      <c r="D119" s="354">
        <v>722046</v>
      </c>
    </row>
    <row r="120" spans="2:4" x14ac:dyDescent="0.3">
      <c r="B120" s="353">
        <v>45896</v>
      </c>
      <c r="C120" s="353">
        <v>40.4</v>
      </c>
      <c r="D120" s="354">
        <v>414441</v>
      </c>
    </row>
    <row r="121" spans="2:4" x14ac:dyDescent="0.3">
      <c r="B121" s="353">
        <v>45897</v>
      </c>
      <c r="C121" s="353">
        <v>40.4</v>
      </c>
      <c r="D121" s="354">
        <v>474602</v>
      </c>
    </row>
    <row r="122" spans="2:4" x14ac:dyDescent="0.3">
      <c r="B122" s="353">
        <v>45898</v>
      </c>
      <c r="C122" s="353">
        <v>40.46</v>
      </c>
      <c r="D122" s="354">
        <v>289340</v>
      </c>
    </row>
    <row r="123" spans="2:4" x14ac:dyDescent="0.3">
      <c r="B123" s="353">
        <v>45901</v>
      </c>
      <c r="C123" s="353">
        <v>40.46</v>
      </c>
      <c r="D123" s="354">
        <v>1206487</v>
      </c>
    </row>
    <row r="124" spans="2:4" s="358" customFormat="1" x14ac:dyDescent="0.3">
      <c r="B124" s="353">
        <v>45902</v>
      </c>
      <c r="C124" s="353">
        <v>40.5</v>
      </c>
      <c r="D124" s="357">
        <v>3228574</v>
      </c>
    </row>
    <row r="125" spans="2:4" x14ac:dyDescent="0.3">
      <c r="B125" s="353">
        <v>45903</v>
      </c>
      <c r="C125" s="353">
        <v>40.78</v>
      </c>
      <c r="D125" s="354">
        <v>1118625</v>
      </c>
    </row>
    <row r="126" spans="2:4" x14ac:dyDescent="0.3">
      <c r="B126" s="353">
        <v>45904</v>
      </c>
      <c r="C126" s="353">
        <v>40.72</v>
      </c>
      <c r="D126" s="354">
        <v>708050</v>
      </c>
    </row>
    <row r="127" spans="2:4" x14ac:dyDescent="0.3">
      <c r="B127" s="353">
        <v>45905</v>
      </c>
      <c r="C127" s="353">
        <v>40.78</v>
      </c>
      <c r="D127" s="354">
        <v>835954</v>
      </c>
    </row>
    <row r="128" spans="2:4" x14ac:dyDescent="0.3">
      <c r="B128" s="353">
        <v>45908</v>
      </c>
      <c r="C128" s="353">
        <v>40.880000000000003</v>
      </c>
      <c r="D128" s="354">
        <v>551473</v>
      </c>
    </row>
    <row r="129" spans="2:4" x14ac:dyDescent="0.3">
      <c r="B129" s="353">
        <v>45909</v>
      </c>
      <c r="C129" s="353">
        <v>40.96</v>
      </c>
      <c r="D129" s="354">
        <v>473092</v>
      </c>
    </row>
    <row r="130" spans="2:4" x14ac:dyDescent="0.3">
      <c r="B130" s="353">
        <v>45910</v>
      </c>
      <c r="C130" s="353">
        <v>40.880000000000003</v>
      </c>
      <c r="D130" s="354">
        <v>590520</v>
      </c>
    </row>
    <row r="131" spans="2:4" s="358" customFormat="1" x14ac:dyDescent="0.3">
      <c r="B131" s="353">
        <v>45911</v>
      </c>
      <c r="C131" s="353">
        <v>40.880000000000003</v>
      </c>
      <c r="D131" s="357">
        <v>3744475</v>
      </c>
    </row>
    <row r="132" spans="2:4" x14ac:dyDescent="0.3">
      <c r="B132" s="353">
        <v>45912</v>
      </c>
      <c r="C132" s="353">
        <v>40.880000000000003</v>
      </c>
      <c r="D132" s="354">
        <v>1125791</v>
      </c>
    </row>
    <row r="133" spans="2:4" x14ac:dyDescent="0.3">
      <c r="B133" s="353">
        <v>45915</v>
      </c>
      <c r="C133" s="353">
        <v>40.92</v>
      </c>
      <c r="D133" s="354">
        <v>688736</v>
      </c>
    </row>
    <row r="134" spans="2:4" x14ac:dyDescent="0.3">
      <c r="B134" s="353">
        <v>45916</v>
      </c>
      <c r="C134" s="353">
        <v>40.92</v>
      </c>
      <c r="D134" s="354">
        <v>507218</v>
      </c>
    </row>
    <row r="135" spans="2:4" x14ac:dyDescent="0.3">
      <c r="B135" s="353">
        <v>45917</v>
      </c>
      <c r="C135" s="353">
        <v>40.880000000000003</v>
      </c>
      <c r="D135" s="354">
        <v>1641468</v>
      </c>
    </row>
    <row r="136" spans="2:4" x14ac:dyDescent="0.3">
      <c r="B136" s="353">
        <v>45918</v>
      </c>
      <c r="C136" s="353">
        <v>40.9</v>
      </c>
      <c r="D136" s="354">
        <v>520448</v>
      </c>
    </row>
    <row r="137" spans="2:4" x14ac:dyDescent="0.3">
      <c r="B137" s="353">
        <v>45919</v>
      </c>
      <c r="C137" s="353">
        <v>40.92</v>
      </c>
      <c r="D137" s="354">
        <v>505471</v>
      </c>
    </row>
    <row r="138" spans="2:4" x14ac:dyDescent="0.3">
      <c r="B138" s="353">
        <v>45922</v>
      </c>
      <c r="C138" s="353">
        <v>40.86</v>
      </c>
      <c r="D138" s="354">
        <v>392361</v>
      </c>
    </row>
    <row r="139" spans="2:4" x14ac:dyDescent="0.3">
      <c r="B139" s="353">
        <v>45923</v>
      </c>
      <c r="C139" s="353">
        <v>40.86</v>
      </c>
      <c r="D139" s="354">
        <v>884573</v>
      </c>
    </row>
    <row r="140" spans="2:4" x14ac:dyDescent="0.3">
      <c r="B140" s="353">
        <v>45924</v>
      </c>
      <c r="C140" s="353">
        <v>40.840000000000003</v>
      </c>
      <c r="D140" s="354">
        <v>475780</v>
      </c>
    </row>
    <row r="141" spans="2:4" x14ac:dyDescent="0.3">
      <c r="B141" s="353">
        <v>45925</v>
      </c>
      <c r="C141" s="353">
        <v>40.880000000000003</v>
      </c>
      <c r="D141" s="354">
        <v>374034</v>
      </c>
    </row>
    <row r="142" spans="2:4" x14ac:dyDescent="0.3">
      <c r="B142" s="353">
        <v>45926</v>
      </c>
      <c r="C142" s="353">
        <v>40.86</v>
      </c>
      <c r="D142" s="354">
        <v>498498</v>
      </c>
    </row>
    <row r="143" spans="2:4" x14ac:dyDescent="0.3">
      <c r="B143" s="353">
        <v>45929</v>
      </c>
      <c r="C143" s="353">
        <v>40.880000000000003</v>
      </c>
      <c r="D143" s="354">
        <v>220957</v>
      </c>
    </row>
    <row r="144" spans="2:4" x14ac:dyDescent="0.3">
      <c r="B144" s="353">
        <v>45930</v>
      </c>
      <c r="C144" s="353">
        <v>41</v>
      </c>
      <c r="D144" s="354">
        <v>314182</v>
      </c>
    </row>
    <row r="145" spans="2:4" x14ac:dyDescent="0.3">
      <c r="B145" s="353">
        <v>45931</v>
      </c>
      <c r="C145" s="353">
        <v>41.1</v>
      </c>
      <c r="D145" s="354">
        <v>411927</v>
      </c>
    </row>
    <row r="146" spans="2:4" x14ac:dyDescent="0.3">
      <c r="B146" s="353">
        <v>45932</v>
      </c>
      <c r="C146" s="353">
        <v>40.74</v>
      </c>
      <c r="D146" s="354">
        <v>344171</v>
      </c>
    </row>
    <row r="147" spans="2:4" x14ac:dyDescent="0.3">
      <c r="B147" s="353">
        <v>45933</v>
      </c>
      <c r="C147" s="353">
        <v>40.82</v>
      </c>
      <c r="D147" s="354">
        <v>753457</v>
      </c>
    </row>
    <row r="148" spans="2:4" x14ac:dyDescent="0.3">
      <c r="B148" s="353">
        <v>45936</v>
      </c>
      <c r="C148" s="353">
        <v>40.86</v>
      </c>
      <c r="D148" s="354">
        <v>1461893</v>
      </c>
    </row>
    <row r="149" spans="2:4" x14ac:dyDescent="0.3">
      <c r="B149" s="353">
        <v>45937</v>
      </c>
      <c r="C149" s="353">
        <v>40.96</v>
      </c>
      <c r="D149" s="354">
        <v>945348</v>
      </c>
    </row>
    <row r="150" spans="2:4" x14ac:dyDescent="0.3">
      <c r="B150" s="353">
        <v>45938</v>
      </c>
      <c r="C150" s="353">
        <v>40.9</v>
      </c>
      <c r="D150" s="354">
        <v>1194220</v>
      </c>
    </row>
    <row r="151" spans="2:4" x14ac:dyDescent="0.3">
      <c r="B151" s="353">
        <v>45939</v>
      </c>
      <c r="C151" s="353">
        <v>40.86</v>
      </c>
      <c r="D151" s="354">
        <v>345047</v>
      </c>
    </row>
    <row r="152" spans="2:4" x14ac:dyDescent="0.3">
      <c r="B152" s="353">
        <v>45940</v>
      </c>
      <c r="C152" s="353">
        <v>40.9</v>
      </c>
      <c r="D152" s="354">
        <v>540741</v>
      </c>
    </row>
    <row r="153" spans="2:4" s="360" customFormat="1" x14ac:dyDescent="0.3">
      <c r="B153" s="353">
        <v>45943</v>
      </c>
      <c r="C153" s="353">
        <v>40.98</v>
      </c>
      <c r="D153" s="359">
        <v>2209364</v>
      </c>
    </row>
    <row r="154" spans="2:4" x14ac:dyDescent="0.3">
      <c r="B154" s="353">
        <v>45944</v>
      </c>
      <c r="C154" s="353">
        <v>40.98</v>
      </c>
      <c r="D154" s="354">
        <v>1030880</v>
      </c>
    </row>
    <row r="155" spans="2:4" s="360" customFormat="1" x14ac:dyDescent="0.3">
      <c r="B155" s="353">
        <v>45945</v>
      </c>
      <c r="C155" s="353">
        <v>41.1</v>
      </c>
      <c r="D155" s="359">
        <v>1505692</v>
      </c>
    </row>
    <row r="156" spans="2:4" x14ac:dyDescent="0.3">
      <c r="B156" s="353">
        <v>45946</v>
      </c>
      <c r="C156" s="353">
        <v>41.1</v>
      </c>
      <c r="D156" s="354">
        <v>1149751</v>
      </c>
    </row>
    <row r="157" spans="2:4" x14ac:dyDescent="0.3">
      <c r="B157" s="353">
        <v>45947</v>
      </c>
      <c r="C157" s="353">
        <v>40.98</v>
      </c>
      <c r="D157" s="354">
        <v>1815080</v>
      </c>
    </row>
    <row r="158" spans="2:4" x14ac:dyDescent="0.3">
      <c r="B158" s="353">
        <v>45950</v>
      </c>
      <c r="C158" s="353">
        <v>41.04</v>
      </c>
      <c r="D158" s="354">
        <v>1141223</v>
      </c>
    </row>
    <row r="159" spans="2:4" x14ac:dyDescent="0.3">
      <c r="B159" s="353">
        <v>45951</v>
      </c>
      <c r="C159" s="353">
        <v>41.02</v>
      </c>
      <c r="D159" s="354">
        <v>4245484</v>
      </c>
    </row>
    <row r="160" spans="2:4" x14ac:dyDescent="0.3">
      <c r="B160" s="353">
        <v>45952</v>
      </c>
      <c r="C160" s="353">
        <v>41.02</v>
      </c>
      <c r="D160" s="354">
        <v>1372930</v>
      </c>
    </row>
    <row r="161" spans="2:4" x14ac:dyDescent="0.3">
      <c r="B161" s="353">
        <v>45953</v>
      </c>
      <c r="C161" s="353">
        <v>41.04</v>
      </c>
      <c r="D161" s="354">
        <v>2162238</v>
      </c>
    </row>
    <row r="162" spans="2:4" x14ac:dyDescent="0.3">
      <c r="B162" s="353">
        <v>45954</v>
      </c>
      <c r="C162" s="353">
        <v>41.02</v>
      </c>
      <c r="D162" s="354">
        <v>1320990</v>
      </c>
    </row>
    <row r="163" spans="2:4" x14ac:dyDescent="0.3">
      <c r="B163" s="353">
        <v>45957</v>
      </c>
      <c r="C163" s="353">
        <v>41.02</v>
      </c>
      <c r="D163" s="354">
        <v>763389</v>
      </c>
    </row>
    <row r="164" spans="2:4" x14ac:dyDescent="0.3">
      <c r="B164" s="353">
        <v>45958</v>
      </c>
      <c r="C164" s="353">
        <v>41.02</v>
      </c>
      <c r="D164" s="354">
        <v>757337</v>
      </c>
    </row>
    <row r="165" spans="2:4" x14ac:dyDescent="0.3">
      <c r="B165" s="353">
        <v>45959</v>
      </c>
      <c r="C165" s="353">
        <v>41.06</v>
      </c>
      <c r="D165" s="354">
        <v>1046455</v>
      </c>
    </row>
    <row r="166" spans="2:4" x14ac:dyDescent="0.3">
      <c r="B166" s="353">
        <v>45960</v>
      </c>
      <c r="C166" s="353">
        <v>41.1</v>
      </c>
      <c r="D166" s="354">
        <v>417998</v>
      </c>
    </row>
    <row r="167" spans="2:4" x14ac:dyDescent="0.3">
      <c r="B167" s="353">
        <v>45961</v>
      </c>
      <c r="C167" s="353">
        <v>41.06</v>
      </c>
      <c r="D167" s="354">
        <v>411296</v>
      </c>
    </row>
    <row r="168" spans="2:4" x14ac:dyDescent="0.3">
      <c r="B168" s="353">
        <v>45964</v>
      </c>
      <c r="C168" s="353">
        <v>41.1</v>
      </c>
      <c r="D168" s="354">
        <v>434189</v>
      </c>
    </row>
    <row r="169" spans="2:4" x14ac:dyDescent="0.3">
      <c r="B169" s="353">
        <v>45965</v>
      </c>
      <c r="C169" s="353">
        <v>41.08</v>
      </c>
      <c r="D169" s="354">
        <v>1153838</v>
      </c>
    </row>
    <row r="170" spans="2:4" x14ac:dyDescent="0.3">
      <c r="B170" s="353">
        <v>45966</v>
      </c>
      <c r="C170" s="353">
        <v>41.12</v>
      </c>
      <c r="D170" s="354">
        <v>588492</v>
      </c>
    </row>
    <row r="171" spans="2:4" x14ac:dyDescent="0.3">
      <c r="B171" s="353">
        <v>45967</v>
      </c>
      <c r="C171" s="353">
        <v>41.06</v>
      </c>
      <c r="D171" s="354">
        <v>576563</v>
      </c>
    </row>
    <row r="172" spans="2:4" x14ac:dyDescent="0.3">
      <c r="B172" s="353">
        <v>45968</v>
      </c>
      <c r="C172" s="353">
        <v>41.04</v>
      </c>
      <c r="D172" s="354">
        <v>471379</v>
      </c>
    </row>
    <row r="173" spans="2:4" x14ac:dyDescent="0.3">
      <c r="B173" s="353">
        <v>45971</v>
      </c>
      <c r="C173" s="353">
        <v>41.1</v>
      </c>
      <c r="D173" s="354">
        <v>269424</v>
      </c>
    </row>
    <row r="174" spans="2:4" x14ac:dyDescent="0.3">
      <c r="B174" s="353">
        <v>45972</v>
      </c>
      <c r="C174" s="353">
        <v>41.12</v>
      </c>
      <c r="D174" s="354">
        <v>381222</v>
      </c>
    </row>
    <row r="175" spans="2:4" x14ac:dyDescent="0.3">
      <c r="B175" s="353">
        <v>45973</v>
      </c>
      <c r="C175" s="353">
        <v>41.16</v>
      </c>
      <c r="D175" s="354">
        <v>744050</v>
      </c>
    </row>
    <row r="176" spans="2:4" x14ac:dyDescent="0.3">
      <c r="B176" s="353">
        <v>45974</v>
      </c>
      <c r="C176" s="353">
        <v>41.12</v>
      </c>
      <c r="D176" s="354">
        <v>641389</v>
      </c>
    </row>
    <row r="177" spans="2:4" x14ac:dyDescent="0.3">
      <c r="B177" s="353">
        <v>45975</v>
      </c>
      <c r="C177" s="353">
        <v>41.12</v>
      </c>
      <c r="D177" s="354">
        <v>697909</v>
      </c>
    </row>
    <row r="178" spans="2:4" x14ac:dyDescent="0.3">
      <c r="B178" s="353">
        <v>45978</v>
      </c>
      <c r="C178" s="353">
        <v>41.12</v>
      </c>
      <c r="D178" s="354">
        <v>908583</v>
      </c>
    </row>
    <row r="179" spans="2:4" x14ac:dyDescent="0.3">
      <c r="B179" s="353">
        <v>45979</v>
      </c>
      <c r="C179" s="353">
        <v>41.1</v>
      </c>
      <c r="D179" s="354">
        <v>609376</v>
      </c>
    </row>
    <row r="180" spans="2:4" x14ac:dyDescent="0.3">
      <c r="B180" s="353">
        <v>45980</v>
      </c>
      <c r="C180" s="353">
        <v>41.06</v>
      </c>
      <c r="D180" s="354">
        <v>487648</v>
      </c>
    </row>
    <row r="181" spans="2:4" x14ac:dyDescent="0.3">
      <c r="B181" s="353">
        <v>45981</v>
      </c>
      <c r="C181" s="353">
        <v>41.08</v>
      </c>
      <c r="D181" s="354">
        <v>1233417</v>
      </c>
    </row>
    <row r="182" spans="2:4" x14ac:dyDescent="0.3">
      <c r="B182" s="353">
        <v>45982</v>
      </c>
      <c r="C182" s="353">
        <v>41.08</v>
      </c>
      <c r="D182" s="354">
        <v>426856</v>
      </c>
    </row>
    <row r="183" spans="2:4" x14ac:dyDescent="0.3">
      <c r="B183" s="353">
        <v>45985</v>
      </c>
      <c r="C183" s="353">
        <v>41.1</v>
      </c>
      <c r="D183" s="354">
        <v>419667</v>
      </c>
    </row>
    <row r="184" spans="2:4" x14ac:dyDescent="0.3">
      <c r="B184" s="353">
        <v>45986</v>
      </c>
      <c r="C184" s="353">
        <v>41.32</v>
      </c>
      <c r="D184" s="354">
        <v>880371</v>
      </c>
    </row>
    <row r="185" spans="2:4" x14ac:dyDescent="0.3">
      <c r="B185" s="353">
        <v>45987</v>
      </c>
      <c r="C185" s="353">
        <v>41.34</v>
      </c>
      <c r="D185" s="354">
        <v>285645</v>
      </c>
    </row>
    <row r="186" spans="2:4" x14ac:dyDescent="0.3">
      <c r="B186" s="353">
        <v>45988</v>
      </c>
      <c r="C186" s="353">
        <v>41.32</v>
      </c>
      <c r="D186" s="354">
        <v>581356</v>
      </c>
    </row>
    <row r="187" spans="2:4" x14ac:dyDescent="0.3">
      <c r="B187" s="353">
        <v>45989</v>
      </c>
      <c r="C187" s="353">
        <v>41.34</v>
      </c>
      <c r="D187" s="354">
        <v>1331916</v>
      </c>
    </row>
    <row r="188" spans="2:4" x14ac:dyDescent="0.3">
      <c r="B188" s="353">
        <v>45992</v>
      </c>
      <c r="C188" s="353">
        <v>41.36</v>
      </c>
      <c r="D188" s="354">
        <v>377424</v>
      </c>
    </row>
    <row r="189" spans="2:4" x14ac:dyDescent="0.3">
      <c r="B189" s="353">
        <v>45993</v>
      </c>
      <c r="C189" s="353">
        <v>41.42</v>
      </c>
      <c r="D189" s="354">
        <v>641332</v>
      </c>
    </row>
    <row r="190" spans="2:4" x14ac:dyDescent="0.3">
      <c r="B190" s="353">
        <v>45994</v>
      </c>
      <c r="C190" s="353">
        <v>41.42</v>
      </c>
      <c r="D190" s="354">
        <v>1054845</v>
      </c>
    </row>
    <row r="191" spans="2:4" x14ac:dyDescent="0.3">
      <c r="B191" s="361">
        <v>45925</v>
      </c>
      <c r="C191" s="354">
        <v>40.880000000000003</v>
      </c>
      <c r="D191" s="354">
        <v>560371</v>
      </c>
    </row>
    <row r="192" spans="2:4" x14ac:dyDescent="0.3">
      <c r="B192" s="361">
        <v>45926</v>
      </c>
      <c r="C192" s="354">
        <v>40.86</v>
      </c>
      <c r="D192" s="354">
        <v>579014</v>
      </c>
    </row>
    <row r="193" spans="2:4" x14ac:dyDescent="0.3">
      <c r="B193" s="361">
        <v>45929</v>
      </c>
      <c r="C193" s="354">
        <v>40.880000000000003</v>
      </c>
      <c r="D193" s="354">
        <v>1645908</v>
      </c>
    </row>
    <row r="194" spans="2:4" x14ac:dyDescent="0.3">
      <c r="B194" s="361">
        <v>45930</v>
      </c>
      <c r="C194" s="354">
        <v>41</v>
      </c>
      <c r="D194" s="354">
        <v>709186</v>
      </c>
    </row>
    <row r="195" spans="2:4" x14ac:dyDescent="0.3">
      <c r="B195" s="361">
        <v>45931</v>
      </c>
      <c r="C195" s="354">
        <v>41.1</v>
      </c>
      <c r="D195" s="354">
        <v>1367830</v>
      </c>
    </row>
    <row r="196" spans="2:4" x14ac:dyDescent="0.3">
      <c r="B196" s="361">
        <v>45932</v>
      </c>
      <c r="C196" s="354">
        <v>40.74</v>
      </c>
      <c r="D196" s="354">
        <v>408037</v>
      </c>
    </row>
    <row r="227" spans="2:4" x14ac:dyDescent="0.3">
      <c r="B227" s="361"/>
      <c r="C227" s="354"/>
      <c r="D227" s="354"/>
    </row>
    <row r="228" spans="2:4" x14ac:dyDescent="0.3">
      <c r="B228" s="361"/>
      <c r="C228" s="354"/>
      <c r="D228" s="354"/>
    </row>
    <row r="229" spans="2:4" x14ac:dyDescent="0.3">
      <c r="B229" s="361"/>
      <c r="C229" s="354"/>
      <c r="D229" s="354"/>
    </row>
    <row r="230" spans="2:4" ht="43.2" x14ac:dyDescent="0.3">
      <c r="B230" s="361" t="s">
        <v>411</v>
      </c>
      <c r="C230" s="354">
        <v>40.82</v>
      </c>
      <c r="D230" s="354">
        <v>424508</v>
      </c>
    </row>
    <row r="231" spans="2:4" x14ac:dyDescent="0.3">
      <c r="B231" s="361">
        <v>45936</v>
      </c>
      <c r="C231" s="354">
        <v>40.86</v>
      </c>
      <c r="D231" s="354">
        <v>777509</v>
      </c>
    </row>
    <row r="232" spans="2:4" x14ac:dyDescent="0.3">
      <c r="B232" s="361"/>
      <c r="C232" s="354"/>
      <c r="D232" s="354"/>
    </row>
    <row r="233" spans="2:4" x14ac:dyDescent="0.3">
      <c r="B233" s="361">
        <v>45937</v>
      </c>
      <c r="C233" s="354">
        <v>40.96</v>
      </c>
      <c r="D233" s="354">
        <v>238052</v>
      </c>
    </row>
    <row r="234" spans="2:4" x14ac:dyDescent="0.3">
      <c r="B234" s="361" t="s">
        <v>412</v>
      </c>
      <c r="C234" s="354">
        <v>40.9</v>
      </c>
      <c r="D234" s="354">
        <v>173920</v>
      </c>
    </row>
    <row r="235" spans="2:4" ht="28.8" x14ac:dyDescent="0.3">
      <c r="B235" s="361" t="s">
        <v>413</v>
      </c>
      <c r="C235" s="354"/>
      <c r="D235" s="354"/>
    </row>
    <row r="236" spans="2:4" x14ac:dyDescent="0.3">
      <c r="B236" s="361"/>
      <c r="C236" s="354"/>
      <c r="D236" s="354"/>
    </row>
    <row r="237" spans="2:4" x14ac:dyDescent="0.3">
      <c r="B237" s="361"/>
      <c r="C237" s="354"/>
      <c r="D237" s="354"/>
    </row>
  </sheetData>
  <autoFilter ref="B5:D237" xr:uid="{19C9749F-CC97-400A-9D2E-F8C012A4852D}">
    <sortState xmlns:xlrd2="http://schemas.microsoft.com/office/spreadsheetml/2017/richdata2" ref="B6:D237">
      <sortCondition ref="B5:B237"/>
    </sortState>
  </autoFilter>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6A9F6-3239-4672-B744-A861B53CD60A}">
  <dimension ref="A1:X218"/>
  <sheetViews>
    <sheetView topLeftCell="A11" zoomScale="55" zoomScaleNormal="55" workbookViewId="0">
      <selection activeCell="X63" sqref="X63"/>
    </sheetView>
  </sheetViews>
  <sheetFormatPr defaultColWidth="8.6640625" defaultRowHeight="14.4" x14ac:dyDescent="0.3"/>
  <cols>
    <col min="1" max="2" width="10.33203125" bestFit="1" customWidth="1"/>
    <col min="14" max="14" width="26" style="309" bestFit="1" customWidth="1"/>
    <col min="15" max="15" width="5.33203125" style="309" bestFit="1" customWidth="1"/>
    <col min="16" max="16" width="5.33203125" bestFit="1" customWidth="1"/>
    <col min="17" max="17" width="17.6640625" bestFit="1" customWidth="1"/>
    <col min="18" max="18" width="22.6640625" bestFit="1" customWidth="1"/>
    <col min="19" max="19" width="20" bestFit="1" customWidth="1"/>
    <col min="20" max="20" width="8.33203125" bestFit="1" customWidth="1"/>
    <col min="21" max="21" width="19.33203125" bestFit="1" customWidth="1"/>
    <col min="24" max="24" width="10.6640625" bestFit="1" customWidth="1"/>
  </cols>
  <sheetData>
    <row r="1" spans="1:21" x14ac:dyDescent="0.3">
      <c r="A1" t="s">
        <v>414</v>
      </c>
      <c r="B1" t="s">
        <v>415</v>
      </c>
    </row>
    <row r="2" spans="1:21" x14ac:dyDescent="0.3">
      <c r="A2" s="218">
        <v>45876</v>
      </c>
      <c r="B2" s="320">
        <v>4160</v>
      </c>
    </row>
    <row r="3" spans="1:21" x14ac:dyDescent="0.3">
      <c r="A3" s="218">
        <v>45875</v>
      </c>
      <c r="B3" s="320">
        <v>4134</v>
      </c>
    </row>
    <row r="4" spans="1:21" x14ac:dyDescent="0.3">
      <c r="A4" s="218">
        <v>45874</v>
      </c>
      <c r="B4" s="320">
        <v>4110</v>
      </c>
    </row>
    <row r="5" spans="1:21" ht="15" thickBot="1" x14ac:dyDescent="0.35">
      <c r="A5" s="218">
        <v>45873</v>
      </c>
      <c r="B5" s="320">
        <v>4082</v>
      </c>
    </row>
    <row r="6" spans="1:21" ht="28.2" thickBot="1" x14ac:dyDescent="0.35">
      <c r="A6" s="218">
        <v>45870</v>
      </c>
      <c r="B6" s="320">
        <v>4078</v>
      </c>
      <c r="Q6" s="319" t="s">
        <v>416</v>
      </c>
      <c r="R6" s="319" t="s">
        <v>417</v>
      </c>
      <c r="S6" s="319" t="s">
        <v>418</v>
      </c>
      <c r="T6" s="319" t="s">
        <v>419</v>
      </c>
      <c r="U6" s="309" t="s">
        <v>420</v>
      </c>
    </row>
    <row r="7" spans="1:21" ht="15" thickBot="1" x14ac:dyDescent="0.35">
      <c r="A7" s="218">
        <v>45869</v>
      </c>
      <c r="B7" s="320">
        <v>3990</v>
      </c>
      <c r="Q7" s="301">
        <v>8</v>
      </c>
      <c r="R7" s="301">
        <v>2</v>
      </c>
      <c r="S7" s="301">
        <v>5</v>
      </c>
      <c r="T7" s="309">
        <v>6</v>
      </c>
      <c r="U7" s="309">
        <v>3</v>
      </c>
    </row>
    <row r="8" spans="1:21" ht="15" thickBot="1" x14ac:dyDescent="0.35">
      <c r="A8" s="218">
        <v>45868</v>
      </c>
      <c r="B8" s="320">
        <v>3992</v>
      </c>
      <c r="Q8" s="302"/>
      <c r="R8" s="302"/>
      <c r="S8" s="301"/>
    </row>
    <row r="9" spans="1:21" ht="15" thickBot="1" x14ac:dyDescent="0.35">
      <c r="A9" s="218">
        <v>45867</v>
      </c>
      <c r="B9" s="320">
        <v>3988</v>
      </c>
      <c r="Q9" s="302"/>
      <c r="R9" s="302"/>
      <c r="S9" s="301"/>
    </row>
    <row r="10" spans="1:21" ht="15" thickBot="1" x14ac:dyDescent="0.35">
      <c r="A10" s="218">
        <v>45866</v>
      </c>
      <c r="B10" s="320">
        <v>3978</v>
      </c>
      <c r="Q10" s="302"/>
      <c r="R10" s="302"/>
      <c r="S10" s="301"/>
    </row>
    <row r="11" spans="1:21" ht="15" thickBot="1" x14ac:dyDescent="0.35">
      <c r="A11" s="218">
        <v>45863</v>
      </c>
      <c r="B11" s="320">
        <v>3980</v>
      </c>
      <c r="Q11" s="303"/>
      <c r="R11" s="303"/>
      <c r="S11" s="301"/>
    </row>
    <row r="12" spans="1:21" x14ac:dyDescent="0.3">
      <c r="A12" s="218">
        <v>45862</v>
      </c>
      <c r="B12" s="320">
        <v>3974</v>
      </c>
    </row>
    <row r="13" spans="1:21" x14ac:dyDescent="0.3">
      <c r="A13" s="218">
        <v>45861</v>
      </c>
      <c r="B13" s="320">
        <v>3974</v>
      </c>
    </row>
    <row r="14" spans="1:21" x14ac:dyDescent="0.3">
      <c r="A14" s="218">
        <v>45860</v>
      </c>
      <c r="B14" s="320">
        <v>3964</v>
      </c>
    </row>
    <row r="15" spans="1:21" x14ac:dyDescent="0.3">
      <c r="A15" s="218">
        <v>45859</v>
      </c>
      <c r="B15" s="320">
        <v>3970</v>
      </c>
    </row>
    <row r="16" spans="1:21" x14ac:dyDescent="0.3">
      <c r="A16" s="218">
        <v>45856</v>
      </c>
      <c r="B16" s="320">
        <v>3972</v>
      </c>
    </row>
    <row r="17" spans="1:24" ht="28.8" x14ac:dyDescent="0.3">
      <c r="A17" s="218">
        <v>45855</v>
      </c>
      <c r="B17" s="320">
        <v>3970</v>
      </c>
      <c r="Q17" s="304" t="s">
        <v>421</v>
      </c>
      <c r="R17" s="305" t="s">
        <v>422</v>
      </c>
      <c r="W17" s="309" t="s">
        <v>423</v>
      </c>
      <c r="X17" t="s">
        <v>424</v>
      </c>
    </row>
    <row r="18" spans="1:24" ht="41.4" x14ac:dyDescent="0.3">
      <c r="A18" s="218">
        <v>45854</v>
      </c>
      <c r="B18" s="320">
        <v>3974</v>
      </c>
      <c r="Q18" s="312" t="s">
        <v>425</v>
      </c>
      <c r="R18" s="313">
        <v>12</v>
      </c>
      <c r="W18" s="309" t="s">
        <v>426</v>
      </c>
      <c r="X18" s="37">
        <v>0.65</v>
      </c>
    </row>
    <row r="19" spans="1:24" ht="43.2" x14ac:dyDescent="0.3">
      <c r="A19" s="218">
        <v>45853</v>
      </c>
      <c r="B19" s="320">
        <v>3976</v>
      </c>
      <c r="Q19" s="312" t="s">
        <v>427</v>
      </c>
      <c r="R19" s="313">
        <v>14.2</v>
      </c>
      <c r="W19" s="309" t="s">
        <v>428</v>
      </c>
      <c r="X19" s="37">
        <v>0.25</v>
      </c>
    </row>
    <row r="20" spans="1:24" ht="44.4" x14ac:dyDescent="0.4">
      <c r="A20" s="218">
        <v>45852</v>
      </c>
      <c r="B20" s="320">
        <v>3980</v>
      </c>
      <c r="Q20" s="306" t="s">
        <v>91</v>
      </c>
      <c r="R20" s="313">
        <v>16.2</v>
      </c>
      <c r="W20" s="309" t="s">
        <v>429</v>
      </c>
      <c r="X20" s="37">
        <v>0.1</v>
      </c>
    </row>
    <row r="21" spans="1:24" ht="16.8" x14ac:dyDescent="0.4">
      <c r="A21" s="218">
        <v>45849</v>
      </c>
      <c r="B21" s="320">
        <v>3980</v>
      </c>
      <c r="Q21" s="306" t="s">
        <v>90</v>
      </c>
      <c r="R21" s="313">
        <v>18.7</v>
      </c>
    </row>
    <row r="22" spans="1:24" ht="27.6" x14ac:dyDescent="0.3">
      <c r="A22" s="218">
        <v>45848</v>
      </c>
      <c r="B22" s="320">
        <v>3986</v>
      </c>
      <c r="Q22" s="312" t="s">
        <v>89</v>
      </c>
      <c r="R22" s="313">
        <v>19.5</v>
      </c>
    </row>
    <row r="23" spans="1:24" x14ac:dyDescent="0.3">
      <c r="A23" s="218">
        <v>45847</v>
      </c>
      <c r="B23" s="320">
        <v>3980</v>
      </c>
    </row>
    <row r="24" spans="1:24" x14ac:dyDescent="0.3">
      <c r="A24" s="218">
        <v>45846</v>
      </c>
      <c r="B24" s="320">
        <v>3988</v>
      </c>
    </row>
    <row r="25" spans="1:24" x14ac:dyDescent="0.3">
      <c r="A25" s="218">
        <v>45845</v>
      </c>
      <c r="B25" s="320">
        <v>3980</v>
      </c>
    </row>
    <row r="26" spans="1:24" x14ac:dyDescent="0.3">
      <c r="A26" s="218">
        <v>45842</v>
      </c>
      <c r="B26" s="320">
        <v>4018</v>
      </c>
    </row>
    <row r="27" spans="1:24" x14ac:dyDescent="0.3">
      <c r="A27" s="218">
        <v>45841</v>
      </c>
      <c r="B27" s="320">
        <v>4000</v>
      </c>
    </row>
    <row r="28" spans="1:24" x14ac:dyDescent="0.3">
      <c r="A28" s="218">
        <v>45840</v>
      </c>
      <c r="B28" s="320">
        <v>3972</v>
      </c>
    </row>
    <row r="29" spans="1:24" x14ac:dyDescent="0.3">
      <c r="A29" s="218">
        <v>45839</v>
      </c>
      <c r="B29" s="320">
        <v>3830</v>
      </c>
    </row>
    <row r="30" spans="1:24" x14ac:dyDescent="0.3">
      <c r="A30" s="218">
        <v>45838</v>
      </c>
      <c r="B30" s="320">
        <v>3838</v>
      </c>
    </row>
    <row r="31" spans="1:24" x14ac:dyDescent="0.3">
      <c r="A31" s="218">
        <v>45835</v>
      </c>
      <c r="B31" s="320">
        <v>3854</v>
      </c>
    </row>
    <row r="32" spans="1:24" x14ac:dyDescent="0.3">
      <c r="A32" s="218">
        <v>45834</v>
      </c>
      <c r="B32" s="320">
        <v>3876</v>
      </c>
    </row>
    <row r="33" spans="1:14" x14ac:dyDescent="0.3">
      <c r="A33" s="218">
        <v>45833</v>
      </c>
      <c r="B33" s="320">
        <v>3816</v>
      </c>
    </row>
    <row r="34" spans="1:14" x14ac:dyDescent="0.3">
      <c r="A34" s="218">
        <v>45832</v>
      </c>
      <c r="B34" s="320">
        <v>3814</v>
      </c>
    </row>
    <row r="35" spans="1:14" x14ac:dyDescent="0.3">
      <c r="A35" s="218">
        <v>45831</v>
      </c>
      <c r="B35" s="320">
        <v>3798</v>
      </c>
    </row>
    <row r="36" spans="1:14" x14ac:dyDescent="0.3">
      <c r="A36" s="218">
        <v>45828</v>
      </c>
      <c r="B36" s="320">
        <v>3282</v>
      </c>
    </row>
    <row r="37" spans="1:14" x14ac:dyDescent="0.3">
      <c r="A37" s="218">
        <v>45827</v>
      </c>
      <c r="B37" s="320">
        <v>3340</v>
      </c>
    </row>
    <row r="38" spans="1:14" x14ac:dyDescent="0.3">
      <c r="A38" s="218">
        <v>45826</v>
      </c>
      <c r="B38" s="320">
        <v>3346</v>
      </c>
    </row>
    <row r="39" spans="1:14" x14ac:dyDescent="0.3">
      <c r="A39" s="218">
        <v>45825</v>
      </c>
      <c r="B39" s="320">
        <v>3310</v>
      </c>
    </row>
    <row r="40" spans="1:14" x14ac:dyDescent="0.3">
      <c r="A40" s="218">
        <v>45824</v>
      </c>
      <c r="B40" s="320">
        <v>3342</v>
      </c>
    </row>
    <row r="41" spans="1:14" x14ac:dyDescent="0.3">
      <c r="A41" s="218">
        <v>45821</v>
      </c>
      <c r="B41" s="320">
        <v>3158</v>
      </c>
    </row>
    <row r="42" spans="1:14" x14ac:dyDescent="0.3">
      <c r="A42" s="218">
        <v>45820</v>
      </c>
      <c r="B42" s="320">
        <v>3218</v>
      </c>
    </row>
    <row r="43" spans="1:14" x14ac:dyDescent="0.3">
      <c r="A43" s="218">
        <v>45819</v>
      </c>
      <c r="B43" s="320">
        <v>3210</v>
      </c>
    </row>
    <row r="44" spans="1:14" x14ac:dyDescent="0.3">
      <c r="A44" s="218">
        <v>45818</v>
      </c>
      <c r="B44" s="320">
        <v>3204</v>
      </c>
      <c r="N44" s="309" t="s">
        <v>430</v>
      </c>
    </row>
    <row r="45" spans="1:14" x14ac:dyDescent="0.3">
      <c r="A45" s="218">
        <v>45817</v>
      </c>
      <c r="B45" s="320">
        <v>3264</v>
      </c>
    </row>
    <row r="46" spans="1:14" x14ac:dyDescent="0.3">
      <c r="A46" s="218">
        <v>45814</v>
      </c>
      <c r="B46" s="320">
        <v>2038</v>
      </c>
    </row>
    <row r="47" spans="1:14" x14ac:dyDescent="0.3">
      <c r="A47" s="218">
        <v>45813</v>
      </c>
      <c r="B47" s="320">
        <v>2026</v>
      </c>
    </row>
    <row r="48" spans="1:14" x14ac:dyDescent="0.3">
      <c r="A48" s="218">
        <v>45812</v>
      </c>
      <c r="B48" s="320">
        <v>2040</v>
      </c>
    </row>
    <row r="49" spans="1:16" x14ac:dyDescent="0.3">
      <c r="A49" s="218">
        <v>45811</v>
      </c>
      <c r="B49" s="320">
        <v>2028</v>
      </c>
    </row>
    <row r="50" spans="1:16" x14ac:dyDescent="0.3">
      <c r="A50" s="218">
        <v>45810</v>
      </c>
      <c r="B50" s="320">
        <v>2032</v>
      </c>
    </row>
    <row r="51" spans="1:16" x14ac:dyDescent="0.3">
      <c r="A51" s="218">
        <v>45807</v>
      </c>
      <c r="B51" s="320">
        <v>2004</v>
      </c>
    </row>
    <row r="52" spans="1:16" x14ac:dyDescent="0.3">
      <c r="A52" s="218">
        <v>45806</v>
      </c>
      <c r="B52" s="320">
        <v>2020</v>
      </c>
    </row>
    <row r="53" spans="1:16" x14ac:dyDescent="0.3">
      <c r="A53" s="218">
        <v>45805</v>
      </c>
      <c r="B53" s="320">
        <v>2016</v>
      </c>
    </row>
    <row r="54" spans="1:16" x14ac:dyDescent="0.3">
      <c r="A54" s="218">
        <v>45804</v>
      </c>
      <c r="B54" s="320">
        <v>2038</v>
      </c>
    </row>
    <row r="55" spans="1:16" x14ac:dyDescent="0.3">
      <c r="A55" s="218">
        <v>45800</v>
      </c>
      <c r="B55" s="320">
        <v>1952</v>
      </c>
    </row>
    <row r="56" spans="1:16" x14ac:dyDescent="0.3">
      <c r="A56" s="218">
        <v>45799</v>
      </c>
      <c r="B56" s="320">
        <v>1994</v>
      </c>
    </row>
    <row r="57" spans="1:16" ht="15" thickBot="1" x14ac:dyDescent="0.35">
      <c r="A57" s="218">
        <v>45798</v>
      </c>
      <c r="B57" s="320">
        <v>2044</v>
      </c>
    </row>
    <row r="58" spans="1:16" ht="15" thickBot="1" x14ac:dyDescent="0.35">
      <c r="A58" s="218">
        <v>45797</v>
      </c>
      <c r="B58" s="320">
        <v>2052</v>
      </c>
      <c r="N58" s="307" t="s">
        <v>431</v>
      </c>
      <c r="O58" s="310" t="s">
        <v>432</v>
      </c>
      <c r="P58" s="308"/>
    </row>
    <row r="59" spans="1:16" ht="15" thickBot="1" x14ac:dyDescent="0.35">
      <c r="A59" s="218">
        <v>45796</v>
      </c>
      <c r="B59" s="320">
        <v>2048</v>
      </c>
      <c r="N59" s="314" t="s">
        <v>433</v>
      </c>
      <c r="O59" s="315">
        <v>18.3</v>
      </c>
      <c r="P59" s="316"/>
    </row>
    <row r="60" spans="1:16" ht="15" thickBot="1" x14ac:dyDescent="0.35">
      <c r="A60" s="218">
        <v>45793</v>
      </c>
      <c r="B60" s="320">
        <v>2070</v>
      </c>
      <c r="N60" s="314" t="s">
        <v>434</v>
      </c>
      <c r="O60" s="315">
        <v>10</v>
      </c>
      <c r="P60" s="316"/>
    </row>
    <row r="61" spans="1:16" x14ac:dyDescent="0.3">
      <c r="A61" s="218">
        <v>45792</v>
      </c>
      <c r="B61" s="320">
        <v>2078</v>
      </c>
      <c r="N61" s="317" t="s">
        <v>435</v>
      </c>
      <c r="O61" s="318">
        <v>50</v>
      </c>
      <c r="P61" s="316"/>
    </row>
    <row r="62" spans="1:16" x14ac:dyDescent="0.3">
      <c r="A62" s="218">
        <v>45791</v>
      </c>
      <c r="B62" s="320">
        <v>2186</v>
      </c>
      <c r="N62" s="312"/>
      <c r="O62" s="312"/>
      <c r="P62" s="316"/>
    </row>
    <row r="63" spans="1:16" x14ac:dyDescent="0.3">
      <c r="A63" s="218">
        <v>45790</v>
      </c>
      <c r="B63" s="320">
        <v>2216</v>
      </c>
      <c r="N63" s="312"/>
      <c r="O63" s="312"/>
      <c r="P63" s="316"/>
    </row>
    <row r="64" spans="1:16" x14ac:dyDescent="0.3">
      <c r="A64" s="218">
        <v>45789</v>
      </c>
      <c r="B64" s="320">
        <v>2192</v>
      </c>
    </row>
    <row r="65" spans="1:2" x14ac:dyDescent="0.3">
      <c r="A65" s="218">
        <v>45786</v>
      </c>
      <c r="B65" s="320">
        <v>2092</v>
      </c>
    </row>
    <row r="66" spans="1:2" x14ac:dyDescent="0.3">
      <c r="A66" s="218">
        <v>45785</v>
      </c>
      <c r="B66" s="320">
        <v>2054</v>
      </c>
    </row>
    <row r="67" spans="1:2" x14ac:dyDescent="0.3">
      <c r="A67" s="218">
        <v>45784</v>
      </c>
      <c r="B67" s="320">
        <v>2002</v>
      </c>
    </row>
    <row r="68" spans="1:2" x14ac:dyDescent="0.3">
      <c r="A68" s="218">
        <v>45783</v>
      </c>
      <c r="B68" s="320">
        <v>2026</v>
      </c>
    </row>
    <row r="69" spans="1:2" x14ac:dyDescent="0.3">
      <c r="A69" s="218">
        <v>45779</v>
      </c>
      <c r="B69" s="320">
        <v>2030</v>
      </c>
    </row>
    <row r="70" spans="1:2" x14ac:dyDescent="0.3">
      <c r="A70" s="218">
        <v>45778</v>
      </c>
      <c r="B70" s="320">
        <v>2082</v>
      </c>
    </row>
    <row r="71" spans="1:2" x14ac:dyDescent="0.3">
      <c r="A71" s="218">
        <v>45777</v>
      </c>
      <c r="B71" s="320">
        <v>2000</v>
      </c>
    </row>
    <row r="72" spans="1:2" x14ac:dyDescent="0.3">
      <c r="A72" s="218">
        <v>45776</v>
      </c>
      <c r="B72" s="320">
        <v>2002</v>
      </c>
    </row>
    <row r="73" spans="1:2" x14ac:dyDescent="0.3">
      <c r="A73" s="218">
        <v>45775</v>
      </c>
      <c r="B73" s="320">
        <v>2022</v>
      </c>
    </row>
    <row r="74" spans="1:2" x14ac:dyDescent="0.3">
      <c r="A74" s="218">
        <v>45772</v>
      </c>
      <c r="B74" s="320">
        <v>2042</v>
      </c>
    </row>
    <row r="75" spans="1:2" x14ac:dyDescent="0.3">
      <c r="A75" s="218">
        <v>45771</v>
      </c>
      <c r="B75" s="320">
        <v>2026</v>
      </c>
    </row>
    <row r="76" spans="1:2" x14ac:dyDescent="0.3">
      <c r="A76" s="218">
        <v>45770</v>
      </c>
      <c r="B76" s="320">
        <v>1996</v>
      </c>
    </row>
    <row r="77" spans="1:2" x14ac:dyDescent="0.3">
      <c r="A77" s="218">
        <v>45769</v>
      </c>
      <c r="B77" s="320">
        <v>1958</v>
      </c>
    </row>
    <row r="78" spans="1:2" x14ac:dyDescent="0.3">
      <c r="A78" s="218">
        <v>45764</v>
      </c>
      <c r="B78" s="320">
        <v>1987</v>
      </c>
    </row>
    <row r="79" spans="1:2" x14ac:dyDescent="0.3">
      <c r="A79" s="218">
        <v>45763</v>
      </c>
      <c r="B79" s="320">
        <v>2078</v>
      </c>
    </row>
    <row r="80" spans="1:2" x14ac:dyDescent="0.3">
      <c r="A80" s="218">
        <v>45762</v>
      </c>
      <c r="B80" s="320">
        <v>2064</v>
      </c>
    </row>
    <row r="81" spans="1:2" x14ac:dyDescent="0.3">
      <c r="A81" s="218">
        <v>45761</v>
      </c>
      <c r="B81" s="320">
        <v>2044</v>
      </c>
    </row>
    <row r="82" spans="1:2" x14ac:dyDescent="0.3">
      <c r="A82" s="218">
        <v>45758</v>
      </c>
      <c r="B82" s="320">
        <v>1953</v>
      </c>
    </row>
    <row r="83" spans="1:2" x14ac:dyDescent="0.3">
      <c r="A83" s="218">
        <v>45757</v>
      </c>
      <c r="B83" s="320">
        <v>2084</v>
      </c>
    </row>
    <row r="84" spans="1:2" x14ac:dyDescent="0.3">
      <c r="A84" s="218">
        <v>45756</v>
      </c>
      <c r="B84" s="320">
        <v>1909</v>
      </c>
    </row>
    <row r="85" spans="1:2" x14ac:dyDescent="0.3">
      <c r="A85" s="218">
        <v>45755</v>
      </c>
      <c r="B85" s="320">
        <v>1990</v>
      </c>
    </row>
    <row r="86" spans="1:2" x14ac:dyDescent="0.3">
      <c r="A86" s="218">
        <v>45754</v>
      </c>
      <c r="B86" s="320">
        <v>1991</v>
      </c>
    </row>
    <row r="87" spans="1:2" x14ac:dyDescent="0.3">
      <c r="A87" s="218">
        <v>45751</v>
      </c>
      <c r="B87" s="320">
        <v>2050</v>
      </c>
    </row>
    <row r="88" spans="1:2" x14ac:dyDescent="0.3">
      <c r="A88" s="218">
        <v>45750</v>
      </c>
      <c r="B88" s="320">
        <v>2116</v>
      </c>
    </row>
    <row r="89" spans="1:2" x14ac:dyDescent="0.3">
      <c r="A89" s="218">
        <v>45749</v>
      </c>
      <c r="B89" s="320">
        <v>2294</v>
      </c>
    </row>
    <row r="90" spans="1:2" x14ac:dyDescent="0.3">
      <c r="A90" s="218">
        <v>45748</v>
      </c>
      <c r="B90" s="320">
        <v>2304</v>
      </c>
    </row>
    <row r="91" spans="1:2" x14ac:dyDescent="0.3">
      <c r="A91" s="218">
        <v>45747</v>
      </c>
      <c r="B91" s="320">
        <v>2318</v>
      </c>
    </row>
    <row r="92" spans="1:2" x14ac:dyDescent="0.3">
      <c r="A92" s="218">
        <v>45744</v>
      </c>
      <c r="B92" s="320">
        <v>2384</v>
      </c>
    </row>
    <row r="93" spans="1:2" x14ac:dyDescent="0.3">
      <c r="A93" s="218">
        <v>45743</v>
      </c>
      <c r="B93" s="320">
        <v>2416</v>
      </c>
    </row>
    <row r="94" spans="1:2" x14ac:dyDescent="0.3">
      <c r="A94" s="218">
        <v>45742</v>
      </c>
      <c r="B94" s="320">
        <v>2400</v>
      </c>
    </row>
    <row r="95" spans="1:2" x14ac:dyDescent="0.3">
      <c r="A95" s="218">
        <v>45741</v>
      </c>
      <c r="B95" s="320">
        <v>2414</v>
      </c>
    </row>
    <row r="96" spans="1:2" x14ac:dyDescent="0.3">
      <c r="A96" s="218">
        <v>45740</v>
      </c>
      <c r="B96" s="320">
        <v>2468</v>
      </c>
    </row>
    <row r="97" spans="1:2" x14ac:dyDescent="0.3">
      <c r="A97" s="218">
        <v>45737</v>
      </c>
      <c r="B97" s="320">
        <v>2458</v>
      </c>
    </row>
    <row r="98" spans="1:2" x14ac:dyDescent="0.3">
      <c r="A98" s="218">
        <v>45736</v>
      </c>
      <c r="B98" s="320">
        <v>2494</v>
      </c>
    </row>
    <row r="99" spans="1:2" x14ac:dyDescent="0.3">
      <c r="A99" s="218">
        <v>45735</v>
      </c>
      <c r="B99" s="320">
        <v>2518</v>
      </c>
    </row>
    <row r="100" spans="1:2" x14ac:dyDescent="0.3">
      <c r="A100" s="218">
        <v>45734</v>
      </c>
      <c r="B100" s="320">
        <v>2516</v>
      </c>
    </row>
    <row r="101" spans="1:2" x14ac:dyDescent="0.3">
      <c r="A101" s="218">
        <v>45733</v>
      </c>
      <c r="B101" s="320">
        <v>2524</v>
      </c>
    </row>
    <row r="102" spans="1:2" x14ac:dyDescent="0.3">
      <c r="A102" s="218">
        <v>45730</v>
      </c>
      <c r="B102" s="320">
        <v>2558</v>
      </c>
    </row>
    <row r="103" spans="1:2" x14ac:dyDescent="0.3">
      <c r="A103" s="218">
        <v>45729</v>
      </c>
      <c r="B103" s="320">
        <v>2524</v>
      </c>
    </row>
    <row r="104" spans="1:2" x14ac:dyDescent="0.3">
      <c r="A104" s="218">
        <v>45728</v>
      </c>
      <c r="B104" s="320">
        <v>2534</v>
      </c>
    </row>
    <row r="105" spans="1:2" x14ac:dyDescent="0.3">
      <c r="A105" s="218">
        <v>45727</v>
      </c>
      <c r="B105" s="320">
        <v>2444</v>
      </c>
    </row>
    <row r="106" spans="1:2" x14ac:dyDescent="0.3">
      <c r="A106" s="218">
        <v>45726</v>
      </c>
      <c r="B106" s="320">
        <v>2514</v>
      </c>
    </row>
    <row r="107" spans="1:2" x14ac:dyDescent="0.3">
      <c r="A107" s="218">
        <v>45723</v>
      </c>
      <c r="B107" s="320">
        <v>2588</v>
      </c>
    </row>
    <row r="108" spans="1:2" x14ac:dyDescent="0.3">
      <c r="A108" s="218">
        <v>45722</v>
      </c>
      <c r="B108" s="320">
        <v>2676</v>
      </c>
    </row>
    <row r="109" spans="1:2" x14ac:dyDescent="0.3">
      <c r="A109" s="218">
        <v>45721</v>
      </c>
      <c r="B109" s="320">
        <v>2644</v>
      </c>
    </row>
    <row r="110" spans="1:2" x14ac:dyDescent="0.3">
      <c r="A110" s="218">
        <v>45720</v>
      </c>
      <c r="B110" s="320">
        <v>2680</v>
      </c>
    </row>
    <row r="111" spans="1:2" x14ac:dyDescent="0.3">
      <c r="A111" s="218">
        <v>45719</v>
      </c>
      <c r="B111" s="320">
        <v>2638</v>
      </c>
    </row>
    <row r="112" spans="1:2" x14ac:dyDescent="0.3">
      <c r="A112" s="218"/>
    </row>
    <row r="113" spans="1:1" x14ac:dyDescent="0.3">
      <c r="A113" s="218"/>
    </row>
    <row r="114" spans="1:1" x14ac:dyDescent="0.3">
      <c r="A114" s="218"/>
    </row>
    <row r="115" spans="1:1" x14ac:dyDescent="0.3">
      <c r="A115" s="218"/>
    </row>
    <row r="116" spans="1:1" x14ac:dyDescent="0.3">
      <c r="A116" s="218"/>
    </row>
    <row r="117" spans="1:1" x14ac:dyDescent="0.3">
      <c r="A117" s="218"/>
    </row>
    <row r="118" spans="1:1" x14ac:dyDescent="0.3">
      <c r="A118" s="218"/>
    </row>
    <row r="119" spans="1:1" x14ac:dyDescent="0.3">
      <c r="A119" s="218"/>
    </row>
    <row r="120" spans="1:1" x14ac:dyDescent="0.3">
      <c r="A120" s="218"/>
    </row>
    <row r="121" spans="1:1" x14ac:dyDescent="0.3">
      <c r="A121" s="218"/>
    </row>
    <row r="122" spans="1:1" x14ac:dyDescent="0.3">
      <c r="A122" s="218"/>
    </row>
    <row r="123" spans="1:1" x14ac:dyDescent="0.3">
      <c r="A123" s="218"/>
    </row>
    <row r="124" spans="1:1" x14ac:dyDescent="0.3">
      <c r="A124" s="218"/>
    </row>
    <row r="125" spans="1:1" x14ac:dyDescent="0.3">
      <c r="A125" s="218"/>
    </row>
    <row r="126" spans="1:1" x14ac:dyDescent="0.3">
      <c r="A126" s="218"/>
    </row>
    <row r="127" spans="1:1" x14ac:dyDescent="0.3">
      <c r="A127" s="218"/>
    </row>
    <row r="128" spans="1:1" x14ac:dyDescent="0.3">
      <c r="A128" s="218"/>
    </row>
    <row r="129" spans="1:1" x14ac:dyDescent="0.3">
      <c r="A129" s="218"/>
    </row>
    <row r="130" spans="1:1" x14ac:dyDescent="0.3">
      <c r="A130" s="218"/>
    </row>
    <row r="131" spans="1:1" x14ac:dyDescent="0.3">
      <c r="A131" s="218"/>
    </row>
    <row r="132" spans="1:1" x14ac:dyDescent="0.3">
      <c r="A132" s="218"/>
    </row>
    <row r="133" spans="1:1" x14ac:dyDescent="0.3">
      <c r="A133" s="218"/>
    </row>
    <row r="134" spans="1:1" x14ac:dyDescent="0.3">
      <c r="A134" s="218"/>
    </row>
    <row r="135" spans="1:1" x14ac:dyDescent="0.3">
      <c r="A135" s="218"/>
    </row>
    <row r="136" spans="1:1" x14ac:dyDescent="0.3">
      <c r="A136" s="218"/>
    </row>
    <row r="137" spans="1:1" x14ac:dyDescent="0.3">
      <c r="A137" s="218"/>
    </row>
    <row r="138" spans="1:1" x14ac:dyDescent="0.3">
      <c r="A138" s="218"/>
    </row>
    <row r="139" spans="1:1" x14ac:dyDescent="0.3">
      <c r="A139" s="218"/>
    </row>
    <row r="140" spans="1:1" x14ac:dyDescent="0.3">
      <c r="A140" s="218"/>
    </row>
    <row r="141" spans="1:1" x14ac:dyDescent="0.3">
      <c r="A141" s="218"/>
    </row>
    <row r="142" spans="1:1" x14ac:dyDescent="0.3">
      <c r="A142" s="218"/>
    </row>
    <row r="143" spans="1:1" x14ac:dyDescent="0.3">
      <c r="A143" s="218"/>
    </row>
    <row r="144" spans="1:1" x14ac:dyDescent="0.3">
      <c r="A144" s="218"/>
    </row>
    <row r="145" spans="1:1" x14ac:dyDescent="0.3">
      <c r="A145" s="218"/>
    </row>
    <row r="146" spans="1:1" x14ac:dyDescent="0.3">
      <c r="A146" s="218"/>
    </row>
    <row r="147" spans="1:1" x14ac:dyDescent="0.3">
      <c r="A147" s="218"/>
    </row>
    <row r="148" spans="1:1" x14ac:dyDescent="0.3">
      <c r="A148" s="218"/>
    </row>
    <row r="149" spans="1:1" x14ac:dyDescent="0.3">
      <c r="A149" s="218"/>
    </row>
    <row r="150" spans="1:1" x14ac:dyDescent="0.3">
      <c r="A150" s="218"/>
    </row>
    <row r="151" spans="1:1" x14ac:dyDescent="0.3">
      <c r="A151" s="218"/>
    </row>
    <row r="152" spans="1:1" x14ac:dyDescent="0.3">
      <c r="A152" s="218"/>
    </row>
    <row r="153" spans="1:1" x14ac:dyDescent="0.3">
      <c r="A153" s="218"/>
    </row>
    <row r="154" spans="1:1" x14ac:dyDescent="0.3">
      <c r="A154" s="218"/>
    </row>
    <row r="155" spans="1:1" x14ac:dyDescent="0.3">
      <c r="A155" s="218"/>
    </row>
    <row r="156" spans="1:1" x14ac:dyDescent="0.3">
      <c r="A156" s="218"/>
    </row>
    <row r="157" spans="1:1" x14ac:dyDescent="0.3">
      <c r="A157" s="218"/>
    </row>
    <row r="158" spans="1:1" x14ac:dyDescent="0.3">
      <c r="A158" s="218"/>
    </row>
    <row r="159" spans="1:1" x14ac:dyDescent="0.3">
      <c r="A159" s="218"/>
    </row>
    <row r="160" spans="1:1" x14ac:dyDescent="0.3">
      <c r="A160" s="218"/>
    </row>
    <row r="161" spans="1:1" x14ac:dyDescent="0.3">
      <c r="A161" s="218"/>
    </row>
    <row r="162" spans="1:1" x14ac:dyDescent="0.3">
      <c r="A162" s="218"/>
    </row>
    <row r="163" spans="1:1" x14ac:dyDescent="0.3">
      <c r="A163" s="218"/>
    </row>
    <row r="164" spans="1:1" x14ac:dyDescent="0.3">
      <c r="A164" s="218"/>
    </row>
    <row r="165" spans="1:1" x14ac:dyDescent="0.3">
      <c r="A165" s="218"/>
    </row>
    <row r="166" spans="1:1" x14ac:dyDescent="0.3">
      <c r="A166" s="218"/>
    </row>
    <row r="167" spans="1:1" x14ac:dyDescent="0.3">
      <c r="A167" s="218"/>
    </row>
    <row r="168" spans="1:1" x14ac:dyDescent="0.3">
      <c r="A168" s="218"/>
    </row>
    <row r="169" spans="1:1" x14ac:dyDescent="0.3">
      <c r="A169" s="218"/>
    </row>
    <row r="170" spans="1:1" x14ac:dyDescent="0.3">
      <c r="A170" s="218"/>
    </row>
    <row r="171" spans="1:1" x14ac:dyDescent="0.3">
      <c r="A171" s="218"/>
    </row>
    <row r="172" spans="1:1" x14ac:dyDescent="0.3">
      <c r="A172" s="218"/>
    </row>
    <row r="173" spans="1:1" x14ac:dyDescent="0.3">
      <c r="A173" s="218"/>
    </row>
    <row r="174" spans="1:1" x14ac:dyDescent="0.3">
      <c r="A174" s="218"/>
    </row>
    <row r="175" spans="1:1" x14ac:dyDescent="0.3">
      <c r="A175" s="218"/>
    </row>
    <row r="176" spans="1:1" x14ac:dyDescent="0.3">
      <c r="A176" s="218"/>
    </row>
    <row r="177" spans="1:1" x14ac:dyDescent="0.3">
      <c r="A177" s="218"/>
    </row>
    <row r="178" spans="1:1" x14ac:dyDescent="0.3">
      <c r="A178" s="218"/>
    </row>
    <row r="179" spans="1:1" x14ac:dyDescent="0.3">
      <c r="A179" s="218"/>
    </row>
    <row r="180" spans="1:1" x14ac:dyDescent="0.3">
      <c r="A180" s="218"/>
    </row>
    <row r="181" spans="1:1" x14ac:dyDescent="0.3">
      <c r="A181" s="218"/>
    </row>
    <row r="182" spans="1:1" x14ac:dyDescent="0.3">
      <c r="A182" s="218"/>
    </row>
    <row r="183" spans="1:1" x14ac:dyDescent="0.3">
      <c r="A183" s="218"/>
    </row>
    <row r="184" spans="1:1" x14ac:dyDescent="0.3">
      <c r="A184" s="218"/>
    </row>
    <row r="185" spans="1:1" x14ac:dyDescent="0.3">
      <c r="A185" s="218"/>
    </row>
    <row r="186" spans="1:1" x14ac:dyDescent="0.3">
      <c r="A186" s="218"/>
    </row>
    <row r="187" spans="1:1" x14ac:dyDescent="0.3">
      <c r="A187" s="218"/>
    </row>
    <row r="188" spans="1:1" x14ac:dyDescent="0.3">
      <c r="A188" s="218"/>
    </row>
    <row r="189" spans="1:1" x14ac:dyDescent="0.3">
      <c r="A189" s="218"/>
    </row>
    <row r="190" spans="1:1" x14ac:dyDescent="0.3">
      <c r="A190" s="218"/>
    </row>
    <row r="191" spans="1:1" x14ac:dyDescent="0.3">
      <c r="A191" s="218"/>
    </row>
    <row r="192" spans="1:1" x14ac:dyDescent="0.3">
      <c r="A192" s="218"/>
    </row>
    <row r="193" spans="1:1" x14ac:dyDescent="0.3">
      <c r="A193" s="218"/>
    </row>
    <row r="194" spans="1:1" x14ac:dyDescent="0.3">
      <c r="A194" s="218"/>
    </row>
    <row r="195" spans="1:1" x14ac:dyDescent="0.3">
      <c r="A195" s="218"/>
    </row>
    <row r="196" spans="1:1" x14ac:dyDescent="0.3">
      <c r="A196" s="218"/>
    </row>
    <row r="197" spans="1:1" x14ac:dyDescent="0.3">
      <c r="A197" s="218"/>
    </row>
    <row r="198" spans="1:1" x14ac:dyDescent="0.3">
      <c r="A198" s="218"/>
    </row>
    <row r="199" spans="1:1" x14ac:dyDescent="0.3">
      <c r="A199" s="218"/>
    </row>
    <row r="200" spans="1:1" x14ac:dyDescent="0.3">
      <c r="A200" s="218"/>
    </row>
    <row r="201" spans="1:1" x14ac:dyDescent="0.3">
      <c r="A201" s="218"/>
    </row>
    <row r="202" spans="1:1" x14ac:dyDescent="0.3">
      <c r="A202" s="218"/>
    </row>
    <row r="203" spans="1:1" x14ac:dyDescent="0.3">
      <c r="A203" s="218"/>
    </row>
    <row r="204" spans="1:1" x14ac:dyDescent="0.3">
      <c r="A204" s="218"/>
    </row>
    <row r="205" spans="1:1" x14ac:dyDescent="0.3">
      <c r="A205" s="218"/>
    </row>
    <row r="206" spans="1:1" x14ac:dyDescent="0.3">
      <c r="A206" s="218"/>
    </row>
    <row r="207" spans="1:1" x14ac:dyDescent="0.3">
      <c r="A207" s="218"/>
    </row>
    <row r="208" spans="1:1" x14ac:dyDescent="0.3">
      <c r="A208" s="218"/>
    </row>
    <row r="209" spans="1:1" x14ac:dyDescent="0.3">
      <c r="A209" s="218"/>
    </row>
    <row r="210" spans="1:1" x14ac:dyDescent="0.3">
      <c r="A210" s="218"/>
    </row>
    <row r="211" spans="1:1" x14ac:dyDescent="0.3">
      <c r="A211" s="218"/>
    </row>
    <row r="212" spans="1:1" x14ac:dyDescent="0.3">
      <c r="A212" s="218"/>
    </row>
    <row r="213" spans="1:1" x14ac:dyDescent="0.3">
      <c r="A213" s="218"/>
    </row>
    <row r="214" spans="1:1" x14ac:dyDescent="0.3">
      <c r="A214" s="218"/>
    </row>
    <row r="215" spans="1:1" x14ac:dyDescent="0.3">
      <c r="A215" s="218"/>
    </row>
    <row r="216" spans="1:1" x14ac:dyDescent="0.3">
      <c r="A216" s="218"/>
    </row>
    <row r="217" spans="1:1" x14ac:dyDescent="0.3">
      <c r="A217" s="218"/>
    </row>
    <row r="218" spans="1:1" x14ac:dyDescent="0.3">
      <c r="A218" s="218"/>
    </row>
  </sheetData>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72E9-0678-4200-9F6C-F33081E34B2C}">
  <dimension ref="B2:R424"/>
  <sheetViews>
    <sheetView topLeftCell="A160" zoomScale="55" zoomScaleNormal="55" workbookViewId="0">
      <selection activeCell="X63" sqref="X63"/>
    </sheetView>
  </sheetViews>
  <sheetFormatPr defaultColWidth="15.6640625" defaultRowHeight="14.4" x14ac:dyDescent="0.3"/>
  <sheetData>
    <row r="2" spans="2:7" s="8" customFormat="1" ht="21" x14ac:dyDescent="0.4">
      <c r="B2" s="9" t="s">
        <v>436</v>
      </c>
    </row>
    <row r="4" spans="2:7" ht="43.2" x14ac:dyDescent="0.3">
      <c r="B4" s="2" t="s">
        <v>437</v>
      </c>
      <c r="C4" s="3" t="s">
        <v>438</v>
      </c>
      <c r="D4" s="3" t="s">
        <v>439</v>
      </c>
      <c r="E4" s="3" t="s">
        <v>440</v>
      </c>
      <c r="F4" s="3" t="s">
        <v>441</v>
      </c>
      <c r="G4" s="3" t="s">
        <v>442</v>
      </c>
    </row>
    <row r="5" spans="2:7" x14ac:dyDescent="0.3">
      <c r="B5" s="1" t="s">
        <v>443</v>
      </c>
      <c r="C5" s="4">
        <v>44196</v>
      </c>
      <c r="D5" s="4">
        <v>44561</v>
      </c>
      <c r="E5" s="4">
        <v>44926</v>
      </c>
      <c r="F5" s="4">
        <v>45291</v>
      </c>
      <c r="G5" s="4">
        <v>45657</v>
      </c>
    </row>
    <row r="6" spans="2:7" x14ac:dyDescent="0.3">
      <c r="B6" s="1" t="s">
        <v>444</v>
      </c>
      <c r="C6" s="5" t="s">
        <v>445</v>
      </c>
      <c r="D6" s="5" t="s">
        <v>445</v>
      </c>
      <c r="E6" s="5" t="s">
        <v>445</v>
      </c>
      <c r="F6" s="5" t="s">
        <v>445</v>
      </c>
      <c r="G6" s="5" t="s">
        <v>445</v>
      </c>
    </row>
    <row r="7" spans="2:7" x14ac:dyDescent="0.3">
      <c r="B7" s="1" t="s">
        <v>446</v>
      </c>
      <c r="C7" s="5" t="s">
        <v>447</v>
      </c>
      <c r="D7" s="5" t="s">
        <v>447</v>
      </c>
      <c r="E7" s="5" t="s">
        <v>447</v>
      </c>
      <c r="F7" s="5" t="s">
        <v>447</v>
      </c>
      <c r="G7" s="5" t="s">
        <v>447</v>
      </c>
    </row>
    <row r="8" spans="2:7" x14ac:dyDescent="0.3">
      <c r="B8" s="6" t="s">
        <v>448</v>
      </c>
      <c r="C8" s="1"/>
      <c r="D8" s="1"/>
      <c r="E8" s="1"/>
      <c r="F8" s="1"/>
      <c r="G8" s="1"/>
    </row>
    <row r="9" spans="2:7" x14ac:dyDescent="0.3">
      <c r="B9" s="1" t="s">
        <v>448</v>
      </c>
      <c r="C9" s="7">
        <v>1336.2</v>
      </c>
      <c r="D9" s="7">
        <v>1163</v>
      </c>
      <c r="E9" s="7">
        <v>1327.4</v>
      </c>
      <c r="F9" s="7">
        <v>1449.2</v>
      </c>
      <c r="G9" s="7">
        <v>1298.7</v>
      </c>
    </row>
    <row r="10" spans="2:7" x14ac:dyDescent="0.3">
      <c r="B10" s="6" t="s">
        <v>449</v>
      </c>
      <c r="C10" s="1"/>
      <c r="D10" s="1"/>
      <c r="E10" s="1"/>
      <c r="F10" s="1"/>
      <c r="G10" s="1"/>
    </row>
    <row r="11" spans="2:7" x14ac:dyDescent="0.3">
      <c r="B11" s="1" t="s">
        <v>450</v>
      </c>
      <c r="C11" s="7">
        <v>-599.79999999999995</v>
      </c>
      <c r="D11" s="7">
        <v>-487.5</v>
      </c>
      <c r="E11" s="7">
        <v>-576.6</v>
      </c>
      <c r="F11" s="7">
        <v>-611.1</v>
      </c>
      <c r="G11" s="7">
        <v>-582.79999999999995</v>
      </c>
    </row>
    <row r="12" spans="2:7" x14ac:dyDescent="0.3">
      <c r="B12" s="1" t="s">
        <v>451</v>
      </c>
      <c r="C12" s="7">
        <v>-268.3</v>
      </c>
      <c r="D12" s="7">
        <v>-220.8</v>
      </c>
      <c r="E12" s="7">
        <v>-231.1</v>
      </c>
      <c r="F12" s="7">
        <v>-273</v>
      </c>
      <c r="G12" s="7">
        <v>-215.7</v>
      </c>
    </row>
    <row r="13" spans="2:7" x14ac:dyDescent="0.3">
      <c r="B13" s="1" t="s">
        <v>452</v>
      </c>
      <c r="C13" s="7">
        <v>-394.7</v>
      </c>
      <c r="D13" s="7">
        <v>-222.2</v>
      </c>
      <c r="E13" s="7">
        <v>-233</v>
      </c>
      <c r="F13" s="7">
        <v>-249.6</v>
      </c>
      <c r="G13" s="7">
        <v>-290.3</v>
      </c>
    </row>
    <row r="14" spans="2:7" x14ac:dyDescent="0.3">
      <c r="B14" s="1" t="s">
        <v>453</v>
      </c>
      <c r="C14" s="7">
        <v>-96.7</v>
      </c>
      <c r="D14" s="7">
        <v>-92.6</v>
      </c>
      <c r="E14" s="7">
        <v>-114.1</v>
      </c>
      <c r="F14" s="7">
        <v>-126.9</v>
      </c>
      <c r="G14" s="7">
        <v>-112.3</v>
      </c>
    </row>
    <row r="15" spans="2:7" x14ac:dyDescent="0.3">
      <c r="B15" s="1" t="s">
        <v>454</v>
      </c>
      <c r="C15" s="7">
        <v>23.2</v>
      </c>
      <c r="D15" s="7">
        <v>12.8</v>
      </c>
      <c r="E15" s="7">
        <v>1.9</v>
      </c>
      <c r="F15" s="7">
        <v>11</v>
      </c>
      <c r="G15" s="7">
        <v>-1.9</v>
      </c>
    </row>
    <row r="16" spans="2:7" x14ac:dyDescent="0.3">
      <c r="B16" s="1" t="s">
        <v>455</v>
      </c>
      <c r="C16" s="7">
        <v>1.8</v>
      </c>
      <c r="D16" s="5">
        <v>0</v>
      </c>
      <c r="E16" s="7">
        <v>-4.0999999999999996</v>
      </c>
      <c r="F16" s="7">
        <v>2.8</v>
      </c>
      <c r="G16" s="7">
        <v>15</v>
      </c>
    </row>
    <row r="17" spans="2:7" x14ac:dyDescent="0.3">
      <c r="B17" s="1" t="s">
        <v>456</v>
      </c>
      <c r="C17" s="7">
        <v>-10.199999999999999</v>
      </c>
      <c r="D17" s="7">
        <v>-5.4</v>
      </c>
      <c r="E17" s="7">
        <v>-19.2</v>
      </c>
      <c r="F17" s="7">
        <v>-4.0999999999999996</v>
      </c>
      <c r="G17" s="7">
        <v>-17.8</v>
      </c>
    </row>
    <row r="18" spans="2:7" x14ac:dyDescent="0.3">
      <c r="B18" s="1" t="s">
        <v>457</v>
      </c>
      <c r="C18" s="7">
        <v>4.4000000000000004</v>
      </c>
      <c r="D18" s="7">
        <v>226.5</v>
      </c>
      <c r="E18" s="7">
        <v>0.3</v>
      </c>
      <c r="F18" s="7">
        <v>-12.6</v>
      </c>
      <c r="G18" s="7">
        <v>210.2</v>
      </c>
    </row>
    <row r="19" spans="2:7" x14ac:dyDescent="0.3">
      <c r="B19" s="1" t="s">
        <v>458</v>
      </c>
      <c r="C19" s="7">
        <v>-4.0999999999999996</v>
      </c>
      <c r="D19" s="7">
        <v>373.8</v>
      </c>
      <c r="E19" s="7">
        <v>151.5</v>
      </c>
      <c r="F19" s="7">
        <v>185.7</v>
      </c>
      <c r="G19" s="7">
        <v>303.10000000000002</v>
      </c>
    </row>
    <row r="20" spans="2:7" x14ac:dyDescent="0.3">
      <c r="B20" s="6" t="s">
        <v>459</v>
      </c>
      <c r="C20" s="1"/>
      <c r="D20" s="1"/>
      <c r="E20" s="1"/>
      <c r="F20" s="1"/>
      <c r="G20" s="1"/>
    </row>
    <row r="21" spans="2:7" x14ac:dyDescent="0.3">
      <c r="B21" s="1" t="s">
        <v>460</v>
      </c>
      <c r="C21" s="7">
        <v>-12.9</v>
      </c>
      <c r="D21" s="7">
        <v>-38.200000000000003</v>
      </c>
      <c r="E21" s="7">
        <v>-36.700000000000003</v>
      </c>
      <c r="F21" s="7">
        <v>-40.200000000000003</v>
      </c>
      <c r="G21" s="7">
        <v>-69.5</v>
      </c>
    </row>
    <row r="22" spans="2:7" x14ac:dyDescent="0.3">
      <c r="B22" s="1" t="s">
        <v>461</v>
      </c>
      <c r="C22" s="5" t="s">
        <v>462</v>
      </c>
      <c r="D22" s="5" t="s">
        <v>462</v>
      </c>
      <c r="E22" s="5" t="s">
        <v>462</v>
      </c>
      <c r="F22" s="5" t="s">
        <v>462</v>
      </c>
      <c r="G22" s="7">
        <v>-0.4</v>
      </c>
    </row>
    <row r="23" spans="2:7" x14ac:dyDescent="0.3">
      <c r="B23" s="1" t="s">
        <v>463</v>
      </c>
      <c r="C23" s="5" t="s">
        <v>462</v>
      </c>
      <c r="D23" s="5" t="s">
        <v>462</v>
      </c>
      <c r="E23" s="5" t="s">
        <v>462</v>
      </c>
      <c r="F23" s="5" t="s">
        <v>462</v>
      </c>
      <c r="G23" s="7">
        <v>0.4</v>
      </c>
    </row>
    <row r="24" spans="2:7" x14ac:dyDescent="0.3">
      <c r="B24" s="1" t="s">
        <v>461</v>
      </c>
      <c r="C24" s="5" t="s">
        <v>462</v>
      </c>
      <c r="D24" s="5" t="s">
        <v>462</v>
      </c>
      <c r="E24" s="5" t="s">
        <v>462</v>
      </c>
      <c r="F24" s="7">
        <v>-0.1</v>
      </c>
      <c r="G24" s="5" t="s">
        <v>462</v>
      </c>
    </row>
    <row r="25" spans="2:7" x14ac:dyDescent="0.3">
      <c r="B25" s="1" t="s">
        <v>464</v>
      </c>
      <c r="C25" s="5" t="s">
        <v>462</v>
      </c>
      <c r="D25" s="7">
        <v>11.3</v>
      </c>
      <c r="E25" s="7">
        <v>286.7</v>
      </c>
      <c r="F25" s="5" t="s">
        <v>462</v>
      </c>
      <c r="G25" s="5" t="s">
        <v>462</v>
      </c>
    </row>
    <row r="26" spans="2:7" x14ac:dyDescent="0.3">
      <c r="B26" s="1" t="s">
        <v>465</v>
      </c>
      <c r="C26" s="7">
        <v>-17</v>
      </c>
      <c r="D26" s="7">
        <v>346.9</v>
      </c>
      <c r="E26" s="7">
        <v>401.5</v>
      </c>
      <c r="F26" s="7">
        <v>145.4</v>
      </c>
      <c r="G26" s="7">
        <v>233.6</v>
      </c>
    </row>
    <row r="27" spans="2:7" x14ac:dyDescent="0.3">
      <c r="B27" s="6" t="s">
        <v>466</v>
      </c>
      <c r="C27" s="1"/>
      <c r="D27" s="1"/>
      <c r="E27" s="1"/>
      <c r="F27" s="1"/>
      <c r="G27" s="1"/>
    </row>
    <row r="28" spans="2:7" x14ac:dyDescent="0.3">
      <c r="B28" s="1" t="s">
        <v>467</v>
      </c>
      <c r="C28" s="7">
        <v>736.4</v>
      </c>
      <c r="D28" s="5" t="s">
        <v>462</v>
      </c>
      <c r="E28" s="5" t="s">
        <v>462</v>
      </c>
      <c r="F28" s="5" t="s">
        <v>462</v>
      </c>
      <c r="G28" s="7">
        <v>715.9</v>
      </c>
    </row>
    <row r="29" spans="2:7" x14ac:dyDescent="0.3">
      <c r="B29" s="1" t="s">
        <v>468</v>
      </c>
      <c r="C29" s="7">
        <v>-23.3</v>
      </c>
      <c r="D29" s="5" t="s">
        <v>462</v>
      </c>
      <c r="E29" s="5" t="s">
        <v>462</v>
      </c>
      <c r="F29" s="5" t="s">
        <v>462</v>
      </c>
      <c r="G29" s="7">
        <v>97.6</v>
      </c>
    </row>
    <row r="30" spans="2:7" x14ac:dyDescent="0.3">
      <c r="B30" s="1" t="s">
        <v>469</v>
      </c>
      <c r="C30" s="7">
        <v>-0.14599999999999999</v>
      </c>
      <c r="D30" s="5" t="s">
        <v>462</v>
      </c>
      <c r="E30" s="5" t="s">
        <v>462</v>
      </c>
      <c r="F30" s="5" t="s">
        <v>462</v>
      </c>
      <c r="G30" s="7">
        <v>2.331</v>
      </c>
    </row>
    <row r="31" spans="2:7" x14ac:dyDescent="0.3">
      <c r="B31" s="1" t="s">
        <v>467</v>
      </c>
      <c r="C31" s="5" t="s">
        <v>462</v>
      </c>
      <c r="D31" s="7">
        <v>675.5</v>
      </c>
      <c r="E31" s="7">
        <v>750.8</v>
      </c>
      <c r="F31" s="7">
        <v>838.1</v>
      </c>
      <c r="G31" s="5" t="s">
        <v>462</v>
      </c>
    </row>
    <row r="32" spans="2:7" x14ac:dyDescent="0.3">
      <c r="B32" s="1" t="s">
        <v>468</v>
      </c>
      <c r="C32" s="5" t="s">
        <v>462</v>
      </c>
      <c r="D32" s="7">
        <v>139.9</v>
      </c>
      <c r="E32" s="7">
        <v>172.6</v>
      </c>
      <c r="F32" s="7">
        <v>188.6</v>
      </c>
      <c r="G32" s="5" t="s">
        <v>462</v>
      </c>
    </row>
    <row r="33" spans="2:8" x14ac:dyDescent="0.3">
      <c r="B33" s="1" t="s">
        <v>469</v>
      </c>
      <c r="C33" s="7">
        <v>-0.14599999999999999</v>
      </c>
      <c r="D33" s="7">
        <v>2.952</v>
      </c>
      <c r="E33" s="7">
        <v>1.0669999999999999</v>
      </c>
      <c r="F33" s="7">
        <v>1.403</v>
      </c>
      <c r="G33" s="5" t="s">
        <v>462</v>
      </c>
    </row>
    <row r="34" spans="2:8" x14ac:dyDescent="0.3">
      <c r="B34" s="1" t="s">
        <v>470</v>
      </c>
      <c r="C34" s="5" t="s">
        <v>462</v>
      </c>
      <c r="D34" s="5" t="s">
        <v>462</v>
      </c>
      <c r="E34" s="5" t="s">
        <v>462</v>
      </c>
      <c r="F34" s="5" t="s">
        <v>462</v>
      </c>
      <c r="G34" s="7">
        <v>2.3109999999999999</v>
      </c>
    </row>
    <row r="35" spans="2:8" x14ac:dyDescent="0.3">
      <c r="B35" s="1" t="s">
        <v>471</v>
      </c>
      <c r="C35" s="5" t="s">
        <v>462</v>
      </c>
      <c r="D35" s="7">
        <v>9.9000000000000005E-2</v>
      </c>
      <c r="E35" s="7">
        <v>2.6640000000000001</v>
      </c>
      <c r="F35" s="5" t="s">
        <v>462</v>
      </c>
      <c r="G35" s="5" t="s">
        <v>462</v>
      </c>
    </row>
    <row r="36" spans="2:8" x14ac:dyDescent="0.3">
      <c r="B36" s="1" t="s">
        <v>472</v>
      </c>
      <c r="C36" s="5" t="s">
        <v>462</v>
      </c>
      <c r="D36" s="7">
        <v>3.0510000000000002</v>
      </c>
      <c r="E36" s="7">
        <v>3.7309999999999999</v>
      </c>
      <c r="F36" s="5" t="s">
        <v>462</v>
      </c>
      <c r="G36" s="5" t="s">
        <v>462</v>
      </c>
    </row>
    <row r="37" spans="2:8" x14ac:dyDescent="0.3">
      <c r="B37" s="1" t="s">
        <v>470</v>
      </c>
      <c r="C37" s="5" t="s">
        <v>462</v>
      </c>
      <c r="D37" s="7">
        <v>2.9409999999999998</v>
      </c>
      <c r="E37" s="7">
        <v>1.06</v>
      </c>
      <c r="F37" s="7">
        <v>1.3939999999999999</v>
      </c>
      <c r="G37" s="5" t="s">
        <v>462</v>
      </c>
    </row>
    <row r="38" spans="2:8" x14ac:dyDescent="0.3">
      <c r="B38" s="1" t="s">
        <v>473</v>
      </c>
      <c r="C38" s="5" t="s">
        <v>462</v>
      </c>
      <c r="D38" s="7">
        <v>9.9000000000000005E-2</v>
      </c>
      <c r="E38" s="7">
        <v>2.6469999999999998</v>
      </c>
      <c r="F38" s="5" t="s">
        <v>462</v>
      </c>
      <c r="G38" s="5" t="s">
        <v>462</v>
      </c>
    </row>
    <row r="39" spans="2:8" x14ac:dyDescent="0.3">
      <c r="B39" s="1" t="s">
        <v>474</v>
      </c>
      <c r="C39" s="5" t="s">
        <v>462</v>
      </c>
      <c r="D39" s="7">
        <v>3.04</v>
      </c>
      <c r="E39" s="7">
        <v>3.7069999999999999</v>
      </c>
      <c r="F39" s="5" t="s">
        <v>462</v>
      </c>
      <c r="G39" s="5" t="s">
        <v>462</v>
      </c>
    </row>
    <row r="40" spans="2:8" x14ac:dyDescent="0.3">
      <c r="B40" s="1"/>
      <c r="C40" s="5"/>
      <c r="D40" s="7"/>
      <c r="E40" s="7"/>
      <c r="F40" s="5"/>
      <c r="G40" s="5"/>
    </row>
    <row r="41" spans="2:8" s="8" customFormat="1" ht="21" x14ac:dyDescent="0.4">
      <c r="B41" s="9" t="s">
        <v>208</v>
      </c>
    </row>
    <row r="42" spans="2:8" x14ac:dyDescent="0.3">
      <c r="B42" s="1"/>
      <c r="C42" s="5"/>
      <c r="D42" s="7"/>
      <c r="E42" s="7"/>
      <c r="F42" s="5"/>
      <c r="G42" s="5"/>
    </row>
    <row r="43" spans="2:8" ht="43.2" x14ac:dyDescent="0.3">
      <c r="B43" s="2" t="s">
        <v>437</v>
      </c>
      <c r="C43" s="3" t="s">
        <v>438</v>
      </c>
      <c r="D43" s="3" t="s">
        <v>439</v>
      </c>
      <c r="E43" s="3" t="s">
        <v>440</v>
      </c>
      <c r="F43" s="3" t="s">
        <v>441</v>
      </c>
      <c r="G43" s="75" t="s">
        <v>442</v>
      </c>
      <c r="H43" s="76" t="s">
        <v>475</v>
      </c>
    </row>
    <row r="44" spans="2:8" x14ac:dyDescent="0.3">
      <c r="B44" s="1" t="s">
        <v>443</v>
      </c>
      <c r="C44" s="4">
        <v>44196</v>
      </c>
      <c r="D44" s="4">
        <v>44561</v>
      </c>
      <c r="E44" s="4">
        <v>44926</v>
      </c>
      <c r="F44" s="4">
        <v>45291</v>
      </c>
      <c r="G44" s="4">
        <v>45657</v>
      </c>
    </row>
    <row r="45" spans="2:8" x14ac:dyDescent="0.3">
      <c r="B45" s="1" t="s">
        <v>444</v>
      </c>
      <c r="C45" s="5" t="s">
        <v>445</v>
      </c>
      <c r="D45" s="5" t="s">
        <v>445</v>
      </c>
      <c r="E45" s="5" t="s">
        <v>445</v>
      </c>
      <c r="F45" s="5" t="s">
        <v>445</v>
      </c>
      <c r="G45" s="5" t="s">
        <v>445</v>
      </c>
    </row>
    <row r="46" spans="2:8" x14ac:dyDescent="0.3">
      <c r="B46" s="1" t="s">
        <v>446</v>
      </c>
      <c r="C46" s="5" t="s">
        <v>447</v>
      </c>
      <c r="D46" s="5" t="s">
        <v>447</v>
      </c>
      <c r="E46" s="5" t="s">
        <v>447</v>
      </c>
      <c r="F46" s="5" t="s">
        <v>447</v>
      </c>
      <c r="G46" s="5" t="s">
        <v>447</v>
      </c>
    </row>
    <row r="47" spans="2:8" x14ac:dyDescent="0.3">
      <c r="B47" s="6" t="s">
        <v>209</v>
      </c>
      <c r="C47" s="1"/>
      <c r="D47" s="1"/>
      <c r="E47" s="1"/>
      <c r="F47" s="1"/>
      <c r="G47" s="1"/>
    </row>
    <row r="48" spans="2:8" x14ac:dyDescent="0.3">
      <c r="B48" s="1" t="s">
        <v>476</v>
      </c>
      <c r="C48" s="7">
        <v>222.2</v>
      </c>
      <c r="D48" s="7">
        <v>167.8</v>
      </c>
      <c r="E48" s="7">
        <v>228.1</v>
      </c>
      <c r="F48" s="7">
        <v>138.5</v>
      </c>
      <c r="G48" s="7">
        <v>105.7</v>
      </c>
      <c r="H48" s="7">
        <v>87.4</v>
      </c>
    </row>
    <row r="49" spans="2:15" x14ac:dyDescent="0.3">
      <c r="B49" s="1" t="s">
        <v>477</v>
      </c>
      <c r="C49" s="7">
        <v>293.3</v>
      </c>
      <c r="D49" s="7">
        <v>315.89999999999998</v>
      </c>
      <c r="E49" s="7">
        <v>362.5</v>
      </c>
      <c r="F49" s="7">
        <v>317.89999999999998</v>
      </c>
      <c r="G49" s="7">
        <v>347</v>
      </c>
    </row>
    <row r="50" spans="2:15" x14ac:dyDescent="0.3">
      <c r="B50" s="102" t="s">
        <v>478</v>
      </c>
      <c r="C50" s="101">
        <v>4.0999999999999996</v>
      </c>
      <c r="D50" s="101">
        <v>5.7</v>
      </c>
      <c r="E50" s="101">
        <v>8.6</v>
      </c>
      <c r="F50" s="101">
        <v>7.2</v>
      </c>
      <c r="G50" s="101">
        <v>17.2</v>
      </c>
      <c r="K50" s="106">
        <f>D48-C48</f>
        <v>-54.399999999999977</v>
      </c>
      <c r="L50" s="106">
        <f t="shared" ref="L50:N50" si="0">E48-D48</f>
        <v>60.299999999999983</v>
      </c>
      <c r="M50" s="106">
        <f t="shared" si="0"/>
        <v>-89.6</v>
      </c>
      <c r="N50" s="106">
        <f t="shared" si="0"/>
        <v>-32.799999999999997</v>
      </c>
      <c r="O50" s="106"/>
    </row>
    <row r="51" spans="2:15" x14ac:dyDescent="0.3">
      <c r="B51" s="1" t="s">
        <v>479</v>
      </c>
      <c r="C51" s="7">
        <v>168.5</v>
      </c>
      <c r="D51" s="7">
        <v>187.9</v>
      </c>
      <c r="E51" s="7">
        <v>263.3</v>
      </c>
      <c r="F51" s="7">
        <v>231.8</v>
      </c>
      <c r="G51" s="7">
        <v>250.2</v>
      </c>
    </row>
    <row r="52" spans="2:15" x14ac:dyDescent="0.3">
      <c r="B52" s="1" t="s">
        <v>480</v>
      </c>
      <c r="C52" s="7">
        <v>1.9</v>
      </c>
      <c r="D52" s="7">
        <v>0.3</v>
      </c>
      <c r="E52" s="7">
        <v>1.3</v>
      </c>
      <c r="F52" s="7">
        <v>5.8</v>
      </c>
      <c r="G52" s="7">
        <v>1.9</v>
      </c>
    </row>
    <row r="53" spans="2:15" x14ac:dyDescent="0.3">
      <c r="B53" s="1" t="s">
        <v>481</v>
      </c>
      <c r="C53" s="7">
        <v>178.7</v>
      </c>
      <c r="D53" s="7">
        <v>10.4</v>
      </c>
      <c r="E53" s="7">
        <v>1.7</v>
      </c>
      <c r="F53" s="7">
        <v>97.5</v>
      </c>
      <c r="G53" s="5" t="s">
        <v>462</v>
      </c>
    </row>
    <row r="54" spans="2:15" x14ac:dyDescent="0.3">
      <c r="B54" s="1" t="s">
        <v>213</v>
      </c>
      <c r="C54" s="7">
        <v>868.7</v>
      </c>
      <c r="D54" s="7">
        <v>688</v>
      </c>
      <c r="E54" s="7">
        <v>865.5</v>
      </c>
      <c r="F54" s="7">
        <v>798.7</v>
      </c>
      <c r="G54" s="7">
        <v>722</v>
      </c>
    </row>
    <row r="55" spans="2:15" x14ac:dyDescent="0.3">
      <c r="B55" s="6" t="s">
        <v>482</v>
      </c>
      <c r="C55" s="1"/>
      <c r="D55" s="1"/>
      <c r="E55" s="1"/>
      <c r="F55" s="1"/>
      <c r="G55" s="1"/>
    </row>
    <row r="56" spans="2:15" x14ac:dyDescent="0.3">
      <c r="B56" s="1" t="s">
        <v>480</v>
      </c>
      <c r="C56" s="5" t="s">
        <v>462</v>
      </c>
      <c r="D56" s="104">
        <v>0</v>
      </c>
      <c r="E56" s="7">
        <v>0.4</v>
      </c>
      <c r="F56" s="7">
        <v>0.4</v>
      </c>
      <c r="G56" s="7">
        <v>0.9</v>
      </c>
    </row>
    <row r="57" spans="2:15" x14ac:dyDescent="0.3">
      <c r="B57" s="1" t="s">
        <v>483</v>
      </c>
      <c r="C57" s="7">
        <v>31.1</v>
      </c>
      <c r="D57" s="105">
        <v>60.5</v>
      </c>
      <c r="E57" s="7">
        <v>59.7</v>
      </c>
      <c r="F57" s="7">
        <v>58.1</v>
      </c>
      <c r="G57" s="7">
        <v>71.3</v>
      </c>
    </row>
    <row r="58" spans="2:15" x14ac:dyDescent="0.3">
      <c r="B58" s="1" t="s">
        <v>484</v>
      </c>
      <c r="C58" s="7">
        <v>156</v>
      </c>
      <c r="D58" s="105">
        <v>150.5</v>
      </c>
      <c r="E58" s="7">
        <v>160.69999999999999</v>
      </c>
      <c r="F58" s="7">
        <v>136.19999999999999</v>
      </c>
      <c r="G58" s="7">
        <v>171.1</v>
      </c>
    </row>
    <row r="59" spans="2:15" x14ac:dyDescent="0.3">
      <c r="B59" s="1" t="s">
        <v>485</v>
      </c>
      <c r="C59" s="5" t="s">
        <v>462</v>
      </c>
      <c r="D59" s="104" t="s">
        <v>462</v>
      </c>
      <c r="E59" s="7">
        <v>2.9</v>
      </c>
      <c r="F59" s="7">
        <v>10.8</v>
      </c>
      <c r="G59" s="7">
        <v>10.3</v>
      </c>
    </row>
    <row r="60" spans="2:15" x14ac:dyDescent="0.3">
      <c r="B60" s="1" t="s">
        <v>486</v>
      </c>
      <c r="C60" s="7">
        <v>39.4</v>
      </c>
      <c r="D60" s="105">
        <v>24.3</v>
      </c>
      <c r="E60" s="7">
        <v>29.3</v>
      </c>
      <c r="F60" s="7">
        <v>24.3</v>
      </c>
      <c r="G60" s="7">
        <v>23</v>
      </c>
    </row>
    <row r="61" spans="2:15" x14ac:dyDescent="0.3">
      <c r="B61" s="1" t="s">
        <v>487</v>
      </c>
      <c r="C61" s="5" t="s">
        <v>462</v>
      </c>
      <c r="D61" s="105">
        <v>23</v>
      </c>
      <c r="E61" s="7">
        <v>18.899999999999999</v>
      </c>
      <c r="F61" s="7">
        <v>21.7</v>
      </c>
      <c r="G61" s="7">
        <v>19.8</v>
      </c>
      <c r="I61">
        <f>SUM(D56:D66)</f>
        <v>1080.0999999999999</v>
      </c>
    </row>
    <row r="62" spans="2:15" x14ac:dyDescent="0.3">
      <c r="B62" s="1" t="s">
        <v>488</v>
      </c>
      <c r="C62" s="7">
        <v>16.2</v>
      </c>
      <c r="D62" s="105">
        <v>21.2</v>
      </c>
      <c r="E62" s="7">
        <v>16.2</v>
      </c>
      <c r="F62" s="7">
        <v>26.6</v>
      </c>
      <c r="G62" s="7">
        <v>22.2</v>
      </c>
      <c r="I62" s="100"/>
    </row>
    <row r="63" spans="2:15" x14ac:dyDescent="0.3">
      <c r="B63" s="1" t="s">
        <v>489</v>
      </c>
      <c r="C63" s="5" t="s">
        <v>462</v>
      </c>
      <c r="D63" s="104" t="s">
        <v>462</v>
      </c>
      <c r="E63" s="7">
        <v>4.2</v>
      </c>
      <c r="F63" s="7">
        <v>5.9</v>
      </c>
      <c r="G63" s="7">
        <v>6.1</v>
      </c>
    </row>
    <row r="64" spans="2:15" x14ac:dyDescent="0.3">
      <c r="B64" s="1" t="s">
        <v>216</v>
      </c>
      <c r="C64" s="7">
        <v>577</v>
      </c>
      <c r="D64" s="105">
        <v>631.5</v>
      </c>
      <c r="E64" s="7">
        <v>606.1</v>
      </c>
      <c r="F64" s="7">
        <v>565.5</v>
      </c>
      <c r="G64" s="7">
        <v>1087.5</v>
      </c>
    </row>
    <row r="65" spans="2:10" x14ac:dyDescent="0.3">
      <c r="B65" s="1" t="s">
        <v>490</v>
      </c>
      <c r="C65" s="7">
        <v>107.8</v>
      </c>
      <c r="D65" s="105">
        <v>169.1</v>
      </c>
      <c r="E65" s="7">
        <v>184.1</v>
      </c>
      <c r="F65" s="7">
        <v>167.1</v>
      </c>
      <c r="G65" s="7">
        <v>421.3</v>
      </c>
    </row>
    <row r="66" spans="2:10" x14ac:dyDescent="0.3">
      <c r="B66" s="1" t="s">
        <v>491</v>
      </c>
      <c r="C66" s="5" t="s">
        <v>462</v>
      </c>
      <c r="D66" s="5" t="s">
        <v>462</v>
      </c>
      <c r="E66" s="5" t="s">
        <v>462</v>
      </c>
      <c r="F66" s="7">
        <v>2.4</v>
      </c>
      <c r="G66" s="7">
        <v>3.8</v>
      </c>
    </row>
    <row r="67" spans="2:10" x14ac:dyDescent="0.3">
      <c r="B67" s="1"/>
      <c r="C67" s="5"/>
      <c r="D67" s="5"/>
      <c r="E67" s="5"/>
      <c r="F67" s="7"/>
      <c r="G67" s="7"/>
    </row>
    <row r="68" spans="2:10" x14ac:dyDescent="0.3">
      <c r="B68" s="1" t="s">
        <v>219</v>
      </c>
      <c r="C68" s="7">
        <v>1796.2</v>
      </c>
      <c r="D68" s="7">
        <v>1768.1</v>
      </c>
      <c r="E68" s="7">
        <v>1948</v>
      </c>
      <c r="F68" s="7">
        <v>1817.7</v>
      </c>
      <c r="G68" s="7">
        <v>2559.3000000000002</v>
      </c>
    </row>
    <row r="69" spans="2:10" x14ac:dyDescent="0.3">
      <c r="B69" s="6" t="s">
        <v>220</v>
      </c>
      <c r="C69" s="1"/>
      <c r="D69" s="1"/>
      <c r="E69" s="1"/>
      <c r="F69" s="1"/>
      <c r="G69" s="1"/>
    </row>
    <row r="70" spans="2:10" x14ac:dyDescent="0.3">
      <c r="B70" s="1" t="s">
        <v>480</v>
      </c>
      <c r="C70" s="7">
        <v>0.1</v>
      </c>
      <c r="D70" s="7">
        <v>1.2</v>
      </c>
      <c r="E70" s="7">
        <v>2.2999999999999998</v>
      </c>
      <c r="F70" s="7">
        <v>0.1</v>
      </c>
      <c r="G70" s="7">
        <v>1</v>
      </c>
    </row>
    <row r="71" spans="2:10" x14ac:dyDescent="0.3">
      <c r="B71" s="1" t="s">
        <v>492</v>
      </c>
      <c r="C71" s="7">
        <v>288.3</v>
      </c>
      <c r="D71" s="7">
        <v>330.2</v>
      </c>
      <c r="E71" s="7">
        <v>373.7</v>
      </c>
      <c r="F71" s="7">
        <v>369.4</v>
      </c>
      <c r="G71" s="7">
        <v>330.8</v>
      </c>
    </row>
    <row r="72" spans="2:10" x14ac:dyDescent="0.3">
      <c r="B72" s="1" t="s">
        <v>493</v>
      </c>
      <c r="C72" s="7">
        <v>13.1</v>
      </c>
      <c r="D72" s="5">
        <v>0</v>
      </c>
      <c r="E72" s="7">
        <v>0.1</v>
      </c>
      <c r="F72" s="5">
        <v>0</v>
      </c>
      <c r="G72" s="7">
        <v>13.3</v>
      </c>
      <c r="H72" s="7">
        <v>18.3</v>
      </c>
    </row>
    <row r="73" spans="2:10" x14ac:dyDescent="0.3">
      <c r="B73" s="102" t="s">
        <v>494</v>
      </c>
      <c r="C73" s="101">
        <v>12.9</v>
      </c>
      <c r="D73" s="101">
        <v>16.600000000000001</v>
      </c>
      <c r="E73" s="101">
        <v>14.9</v>
      </c>
      <c r="F73" s="101">
        <v>14.4</v>
      </c>
      <c r="G73" s="101">
        <v>22.1</v>
      </c>
      <c r="H73" s="101">
        <v>6.3</v>
      </c>
      <c r="J73" s="195">
        <f>+G72+G83+G75</f>
        <v>676.59999999999991</v>
      </c>
    </row>
    <row r="74" spans="2:10" x14ac:dyDescent="0.3">
      <c r="B74" s="1" t="s">
        <v>495</v>
      </c>
      <c r="C74" s="7">
        <v>15.6</v>
      </c>
      <c r="D74" s="7">
        <v>28.1</v>
      </c>
      <c r="E74" s="7">
        <v>14.2</v>
      </c>
      <c r="F74" s="7">
        <v>12.6</v>
      </c>
      <c r="G74" s="7">
        <v>6.3</v>
      </c>
    </row>
    <row r="75" spans="2:10" x14ac:dyDescent="0.3">
      <c r="B75" s="1" t="s">
        <v>496</v>
      </c>
      <c r="C75" s="7">
        <v>24.7</v>
      </c>
      <c r="D75" s="7">
        <v>17.600000000000001</v>
      </c>
      <c r="E75" s="7">
        <v>12.8</v>
      </c>
      <c r="F75" s="7">
        <v>8.5</v>
      </c>
      <c r="G75" s="7">
        <v>21.9</v>
      </c>
    </row>
    <row r="76" spans="2:10" x14ac:dyDescent="0.3">
      <c r="B76" s="1" t="s">
        <v>497</v>
      </c>
      <c r="C76" s="7">
        <v>37.299999999999997</v>
      </c>
      <c r="D76" s="5" t="s">
        <v>462</v>
      </c>
      <c r="E76" s="5" t="s">
        <v>462</v>
      </c>
      <c r="F76" s="7">
        <v>17.8</v>
      </c>
      <c r="G76" s="5" t="s">
        <v>462</v>
      </c>
    </row>
    <row r="77" spans="2:10" x14ac:dyDescent="0.3">
      <c r="B77" s="1" t="s">
        <v>223</v>
      </c>
      <c r="C77" s="7">
        <v>392</v>
      </c>
      <c r="D77" s="7">
        <v>393.7</v>
      </c>
      <c r="E77" s="7">
        <v>418</v>
      </c>
      <c r="F77" s="7">
        <v>422.8</v>
      </c>
      <c r="G77" s="7">
        <v>395.4</v>
      </c>
    </row>
    <row r="78" spans="2:10" x14ac:dyDescent="0.3">
      <c r="B78" s="6" t="s">
        <v>498</v>
      </c>
      <c r="C78" s="1"/>
      <c r="D78" s="1"/>
      <c r="E78" s="1"/>
      <c r="F78" s="1"/>
      <c r="G78" s="1"/>
    </row>
    <row r="79" spans="2:10" x14ac:dyDescent="0.3">
      <c r="B79" s="1" t="s">
        <v>496</v>
      </c>
      <c r="C79" s="7">
        <v>3.8</v>
      </c>
      <c r="D79" s="7">
        <v>4.7</v>
      </c>
      <c r="E79" s="7">
        <v>4.4000000000000004</v>
      </c>
      <c r="F79" s="7">
        <v>2.6</v>
      </c>
      <c r="G79" s="7">
        <v>3.2</v>
      </c>
    </row>
    <row r="80" spans="2:10" x14ac:dyDescent="0.3">
      <c r="B80" s="1" t="s">
        <v>480</v>
      </c>
      <c r="C80" s="5" t="s">
        <v>462</v>
      </c>
      <c r="D80" s="5" t="s">
        <v>462</v>
      </c>
      <c r="E80" s="7">
        <v>0.2</v>
      </c>
      <c r="F80" s="7">
        <v>0.1</v>
      </c>
      <c r="G80" s="7">
        <v>0.8</v>
      </c>
    </row>
    <row r="81" spans="2:18" x14ac:dyDescent="0.3">
      <c r="B81" s="1" t="s">
        <v>494</v>
      </c>
      <c r="C81" s="7">
        <v>26</v>
      </c>
      <c r="D81" s="7">
        <v>49.3</v>
      </c>
      <c r="E81" s="7">
        <v>50.2</v>
      </c>
      <c r="F81" s="7">
        <v>48.3</v>
      </c>
      <c r="G81" s="7">
        <v>54.6</v>
      </c>
      <c r="H81" s="7">
        <v>58.2</v>
      </c>
    </row>
    <row r="82" spans="2:18" x14ac:dyDescent="0.3">
      <c r="B82" s="1" t="s">
        <v>499</v>
      </c>
      <c r="C82" s="5" t="s">
        <v>462</v>
      </c>
      <c r="D82" s="5" t="s">
        <v>462</v>
      </c>
      <c r="E82" s="5" t="s">
        <v>462</v>
      </c>
      <c r="F82" s="7">
        <v>11.6</v>
      </c>
      <c r="G82" s="5" t="s">
        <v>462</v>
      </c>
    </row>
    <row r="83" spans="2:18" x14ac:dyDescent="0.3">
      <c r="B83" s="1" t="s">
        <v>500</v>
      </c>
      <c r="C83" s="7">
        <v>104.5</v>
      </c>
      <c r="D83" s="5">
        <v>0</v>
      </c>
      <c r="E83" s="5">
        <v>0</v>
      </c>
      <c r="F83" s="5">
        <v>0</v>
      </c>
      <c r="G83" s="7">
        <v>641.4</v>
      </c>
      <c r="H83">
        <v>626.79999999999995</v>
      </c>
    </row>
    <row r="84" spans="2:18" x14ac:dyDescent="0.3">
      <c r="B84" s="1" t="s">
        <v>501</v>
      </c>
      <c r="C84" s="7">
        <v>20.399999999999999</v>
      </c>
      <c r="D84" s="7">
        <v>22.3</v>
      </c>
      <c r="E84" s="7">
        <v>8.9</v>
      </c>
      <c r="F84" s="5" t="s">
        <v>462</v>
      </c>
      <c r="G84" s="7">
        <v>11.1</v>
      </c>
    </row>
    <row r="85" spans="2:18" x14ac:dyDescent="0.3">
      <c r="B85" s="1" t="s">
        <v>502</v>
      </c>
      <c r="C85" s="7">
        <v>5.0999999999999996</v>
      </c>
      <c r="D85" s="7">
        <v>23</v>
      </c>
      <c r="E85" s="7">
        <v>15.6</v>
      </c>
      <c r="F85" s="7">
        <v>1.3</v>
      </c>
      <c r="G85" s="7">
        <v>44.6</v>
      </c>
    </row>
    <row r="86" spans="2:18" x14ac:dyDescent="0.3">
      <c r="B86" s="1" t="s">
        <v>503</v>
      </c>
      <c r="C86" s="7">
        <v>24.7</v>
      </c>
      <c r="D86" s="7">
        <v>13.8</v>
      </c>
      <c r="E86" s="7">
        <v>13.8</v>
      </c>
      <c r="F86" s="7">
        <v>15.1</v>
      </c>
      <c r="G86" s="7">
        <v>27.6</v>
      </c>
    </row>
    <row r="87" spans="2:18" x14ac:dyDescent="0.3">
      <c r="B87" s="6" t="s">
        <v>229</v>
      </c>
      <c r="C87" s="1"/>
      <c r="D87" s="1"/>
      <c r="E87" s="1"/>
      <c r="F87" s="1"/>
      <c r="G87" s="1"/>
    </row>
    <row r="88" spans="2:18" x14ac:dyDescent="0.3">
      <c r="B88" s="1" t="s">
        <v>504</v>
      </c>
      <c r="C88" s="7">
        <v>6</v>
      </c>
      <c r="D88" s="7">
        <v>5.8</v>
      </c>
      <c r="E88" s="7">
        <v>5.5</v>
      </c>
      <c r="F88" s="7">
        <v>5.3</v>
      </c>
      <c r="G88" s="7">
        <v>5.2</v>
      </c>
    </row>
    <row r="89" spans="2:18" x14ac:dyDescent="0.3">
      <c r="B89" s="1" t="s">
        <v>505</v>
      </c>
      <c r="C89" s="7">
        <v>231.4</v>
      </c>
      <c r="D89" s="7">
        <v>231.4</v>
      </c>
      <c r="E89" s="7">
        <v>231.4</v>
      </c>
      <c r="F89" s="7">
        <v>231.4</v>
      </c>
      <c r="G89" s="7">
        <v>231.4</v>
      </c>
    </row>
    <row r="90" spans="2:18" x14ac:dyDescent="0.3">
      <c r="B90" s="1" t="s">
        <v>231</v>
      </c>
      <c r="C90" s="7">
        <v>882.6</v>
      </c>
      <c r="D90" s="7">
        <v>957.6</v>
      </c>
      <c r="E90" s="7">
        <v>1113</v>
      </c>
      <c r="F90" s="7">
        <v>1030</v>
      </c>
      <c r="G90" s="7">
        <v>1138.4000000000001</v>
      </c>
    </row>
    <row r="91" spans="2:18" x14ac:dyDescent="0.3">
      <c r="B91" s="1" t="s">
        <v>506</v>
      </c>
      <c r="C91" s="7">
        <v>-1.9</v>
      </c>
      <c r="D91" s="7">
        <v>-3.5</v>
      </c>
      <c r="E91" s="7">
        <v>-3.1</v>
      </c>
      <c r="F91" s="7">
        <v>1.9</v>
      </c>
      <c r="G91" s="7">
        <v>-2.7</v>
      </c>
    </row>
    <row r="92" spans="2:18" x14ac:dyDescent="0.3">
      <c r="B92" s="1" t="s">
        <v>507</v>
      </c>
      <c r="C92" s="7">
        <v>98</v>
      </c>
      <c r="D92" s="7">
        <v>66.2</v>
      </c>
      <c r="E92" s="7">
        <v>86</v>
      </c>
      <c r="F92" s="7">
        <v>43</v>
      </c>
      <c r="G92" s="7">
        <v>3.9</v>
      </c>
      <c r="J92">
        <v>0</v>
      </c>
      <c r="K92">
        <v>0</v>
      </c>
      <c r="L92">
        <v>0</v>
      </c>
      <c r="M92">
        <v>0</v>
      </c>
      <c r="N92">
        <v>0</v>
      </c>
      <c r="O92">
        <v>0</v>
      </c>
      <c r="P92">
        <v>0</v>
      </c>
      <c r="Q92">
        <v>0</v>
      </c>
      <c r="R92">
        <v>0</v>
      </c>
    </row>
    <row r="93" spans="2:18" x14ac:dyDescent="0.3">
      <c r="B93" s="1" t="s">
        <v>508</v>
      </c>
      <c r="C93" s="7">
        <v>3.1</v>
      </c>
      <c r="D93" s="7">
        <v>3.1</v>
      </c>
      <c r="E93" s="7">
        <v>3.1</v>
      </c>
      <c r="F93" s="7">
        <v>3.1</v>
      </c>
      <c r="G93" s="7">
        <v>3.1</v>
      </c>
    </row>
    <row r="94" spans="2:18" x14ac:dyDescent="0.3">
      <c r="B94" s="1" t="s">
        <v>509</v>
      </c>
      <c r="C94" s="7">
        <v>0.5</v>
      </c>
      <c r="D94" s="7">
        <v>0.7</v>
      </c>
      <c r="E94" s="7">
        <v>1</v>
      </c>
      <c r="F94" s="7">
        <v>1.2</v>
      </c>
      <c r="G94" s="7">
        <v>1.3</v>
      </c>
    </row>
    <row r="95" spans="2:18" x14ac:dyDescent="0.3">
      <c r="B95" s="1" t="s">
        <v>510</v>
      </c>
      <c r="C95" s="7">
        <v>1219.7</v>
      </c>
      <c r="D95" s="7">
        <v>1261.3</v>
      </c>
      <c r="E95" s="7">
        <v>1436.9</v>
      </c>
      <c r="F95" s="7">
        <v>1315.9</v>
      </c>
      <c r="G95" s="7">
        <v>1380.6</v>
      </c>
    </row>
    <row r="96" spans="2:18" x14ac:dyDescent="0.3">
      <c r="B96" s="1" t="s">
        <v>511</v>
      </c>
      <c r="C96" s="7">
        <v>1796.2</v>
      </c>
      <c r="D96" s="7">
        <v>1768.1</v>
      </c>
      <c r="E96" s="7">
        <v>1948</v>
      </c>
      <c r="F96" s="7">
        <v>1817.7</v>
      </c>
      <c r="G96" s="7">
        <v>2559.3000000000002</v>
      </c>
    </row>
    <row r="97" spans="2:17" x14ac:dyDescent="0.3">
      <c r="B97" s="1"/>
      <c r="C97" s="7"/>
      <c r="D97" s="7"/>
      <c r="E97" s="7"/>
      <c r="F97" s="7"/>
      <c r="G97" s="7"/>
    </row>
    <row r="98" spans="2:17" s="8" customFormat="1" ht="21" x14ac:dyDescent="0.4">
      <c r="B98" s="9" t="s">
        <v>512</v>
      </c>
    </row>
    <row r="100" spans="2:17" ht="43.2" x14ac:dyDescent="0.3">
      <c r="B100" s="2" t="s">
        <v>437</v>
      </c>
      <c r="C100" s="3" t="s">
        <v>438</v>
      </c>
      <c r="D100" s="3" t="s">
        <v>439</v>
      </c>
      <c r="E100" s="3" t="s">
        <v>440</v>
      </c>
      <c r="F100" s="3" t="s">
        <v>441</v>
      </c>
      <c r="G100" s="3" t="s">
        <v>442</v>
      </c>
    </row>
    <row r="101" spans="2:17" x14ac:dyDescent="0.3">
      <c r="B101" s="1" t="s">
        <v>443</v>
      </c>
      <c r="C101" s="4">
        <v>44196</v>
      </c>
      <c r="D101" s="4">
        <v>44561</v>
      </c>
      <c r="E101" s="4">
        <v>44926</v>
      </c>
      <c r="F101" s="4">
        <v>45291</v>
      </c>
      <c r="G101" s="4">
        <v>45657</v>
      </c>
    </row>
    <row r="102" spans="2:17" x14ac:dyDescent="0.3">
      <c r="B102" s="1" t="s">
        <v>444</v>
      </c>
      <c r="C102" s="5" t="s">
        <v>445</v>
      </c>
      <c r="D102" s="5" t="s">
        <v>445</v>
      </c>
      <c r="E102" s="5" t="s">
        <v>445</v>
      </c>
      <c r="F102" s="5" t="s">
        <v>445</v>
      </c>
      <c r="G102" s="5" t="s">
        <v>445</v>
      </c>
    </row>
    <row r="103" spans="2:17" x14ac:dyDescent="0.3">
      <c r="B103" s="1" t="s">
        <v>446</v>
      </c>
      <c r="C103" s="5" t="s">
        <v>447</v>
      </c>
      <c r="D103" s="5" t="s">
        <v>447</v>
      </c>
      <c r="E103" s="5" t="s">
        <v>447</v>
      </c>
      <c r="F103" s="5" t="s">
        <v>447</v>
      </c>
      <c r="G103" s="5" t="s">
        <v>447</v>
      </c>
    </row>
    <row r="104" spans="2:17" x14ac:dyDescent="0.3">
      <c r="B104" s="6" t="s">
        <v>513</v>
      </c>
      <c r="C104" s="1"/>
      <c r="D104" s="1"/>
      <c r="E104" s="1"/>
      <c r="F104" s="1"/>
      <c r="G104" s="1"/>
    </row>
    <row r="105" spans="2:17" x14ac:dyDescent="0.3">
      <c r="B105" s="1" t="s">
        <v>207</v>
      </c>
      <c r="C105" s="7">
        <v>-33.5</v>
      </c>
      <c r="D105" s="105">
        <v>344</v>
      </c>
      <c r="E105" s="7">
        <v>424.90000000000003</v>
      </c>
      <c r="F105" s="7">
        <v>127.2</v>
      </c>
      <c r="G105" s="7">
        <v>244.89999999999998</v>
      </c>
    </row>
    <row r="106" spans="2:17" x14ac:dyDescent="0.3">
      <c r="B106" s="1" t="s">
        <v>514</v>
      </c>
      <c r="C106" s="7">
        <v>108.9</v>
      </c>
      <c r="D106" s="105">
        <v>26.4</v>
      </c>
      <c r="E106" s="7">
        <v>34.799999999999997</v>
      </c>
      <c r="F106" s="7">
        <v>32.799999999999997</v>
      </c>
      <c r="G106" s="7">
        <v>31.7</v>
      </c>
    </row>
    <row r="107" spans="2:17" x14ac:dyDescent="0.3">
      <c r="B107" s="1" t="s">
        <v>515</v>
      </c>
      <c r="C107" s="7">
        <v>57.9</v>
      </c>
      <c r="D107" s="105">
        <v>23.9</v>
      </c>
      <c r="E107" s="7">
        <v>26.3</v>
      </c>
      <c r="F107" s="7">
        <v>24.9</v>
      </c>
      <c r="G107" s="7">
        <v>29.3</v>
      </c>
    </row>
    <row r="108" spans="2:17" x14ac:dyDescent="0.3">
      <c r="B108" s="1" t="s">
        <v>516</v>
      </c>
      <c r="C108" s="7">
        <v>-0.1</v>
      </c>
      <c r="D108" s="5" t="s">
        <v>462</v>
      </c>
      <c r="E108" s="5" t="s">
        <v>462</v>
      </c>
      <c r="F108" s="5" t="s">
        <v>462</v>
      </c>
      <c r="G108" s="5" t="s">
        <v>462</v>
      </c>
    </row>
    <row r="109" spans="2:17" x14ac:dyDescent="0.3">
      <c r="B109" s="1" t="s">
        <v>457</v>
      </c>
      <c r="C109" s="7">
        <v>-4.4000000000000004</v>
      </c>
      <c r="D109" s="7">
        <v>-226.5</v>
      </c>
      <c r="E109" s="7">
        <v>-294.2</v>
      </c>
      <c r="F109" s="7">
        <v>12.6</v>
      </c>
      <c r="G109" s="7">
        <v>-210.2</v>
      </c>
    </row>
    <row r="110" spans="2:17" x14ac:dyDescent="0.3">
      <c r="B110" s="1" t="s">
        <v>517</v>
      </c>
      <c r="C110" s="5" t="s">
        <v>462</v>
      </c>
      <c r="D110" s="7">
        <v>0.1</v>
      </c>
      <c r="E110" s="7">
        <v>-1.5</v>
      </c>
      <c r="F110" s="7">
        <v>-0.5</v>
      </c>
      <c r="G110" s="7">
        <v>-1.2</v>
      </c>
      <c r="K110" s="100">
        <v>-1.2</v>
      </c>
      <c r="L110">
        <f>($Q$110-$K$110)/6+K110</f>
        <v>-0.99382302898129704</v>
      </c>
      <c r="M110">
        <f t="shared" ref="M110:P110" si="1">($Q$110-$K$110)/6+L110</f>
        <v>-0.78764605796259413</v>
      </c>
      <c r="N110">
        <f t="shared" si="1"/>
        <v>-0.58146908694389121</v>
      </c>
      <c r="O110">
        <f t="shared" si="1"/>
        <v>-0.3752921159251883</v>
      </c>
      <c r="P110">
        <f t="shared" si="1"/>
        <v>-0.16911514490648541</v>
      </c>
      <c r="Q110">
        <v>3.7061826112217394E-2</v>
      </c>
    </row>
    <row r="111" spans="2:17" x14ac:dyDescent="0.3">
      <c r="B111" s="1" t="s">
        <v>454</v>
      </c>
      <c r="C111" s="7">
        <v>-23.2</v>
      </c>
      <c r="D111" s="5" t="s">
        <v>462</v>
      </c>
      <c r="E111" s="5" t="s">
        <v>462</v>
      </c>
      <c r="F111" s="5" t="s">
        <v>462</v>
      </c>
      <c r="G111" s="5" t="s">
        <v>462</v>
      </c>
    </row>
    <row r="112" spans="2:17" x14ac:dyDescent="0.3">
      <c r="B112" s="1" t="s">
        <v>518</v>
      </c>
      <c r="C112" s="5" t="s">
        <v>462</v>
      </c>
      <c r="D112" s="5" t="s">
        <v>462</v>
      </c>
      <c r="E112" s="7">
        <v>4.0999999999999996</v>
      </c>
      <c r="F112" s="7">
        <v>-2.8</v>
      </c>
      <c r="G112" s="7">
        <v>1.9</v>
      </c>
    </row>
    <row r="113" spans="2:12" x14ac:dyDescent="0.3">
      <c r="B113" s="1" t="s">
        <v>519</v>
      </c>
      <c r="C113" s="7">
        <v>58.4</v>
      </c>
      <c r="D113" s="5" t="s">
        <v>462</v>
      </c>
      <c r="E113" s="5" t="s">
        <v>462</v>
      </c>
      <c r="F113" s="5" t="s">
        <v>462</v>
      </c>
      <c r="G113" s="5" t="s">
        <v>462</v>
      </c>
    </row>
    <row r="114" spans="2:12" x14ac:dyDescent="0.3">
      <c r="B114" s="1" t="s">
        <v>461</v>
      </c>
      <c r="C114" s="5" t="s">
        <v>462</v>
      </c>
      <c r="D114" s="5" t="s">
        <v>462</v>
      </c>
      <c r="E114" s="5" t="s">
        <v>462</v>
      </c>
      <c r="F114" s="7">
        <v>0.1</v>
      </c>
      <c r="G114" s="7">
        <v>0.4</v>
      </c>
    </row>
    <row r="115" spans="2:12" x14ac:dyDescent="0.3">
      <c r="B115" s="1" t="s">
        <v>520</v>
      </c>
      <c r="C115" s="7">
        <v>2.9</v>
      </c>
      <c r="D115" s="7">
        <v>7.8</v>
      </c>
      <c r="E115" s="7">
        <v>10.4</v>
      </c>
      <c r="F115" s="7">
        <v>13.1</v>
      </c>
      <c r="G115" s="7">
        <v>8.1</v>
      </c>
    </row>
    <row r="116" spans="2:12" x14ac:dyDescent="0.3">
      <c r="B116" s="1" t="s">
        <v>521</v>
      </c>
      <c r="C116" s="7">
        <v>-2.2000000000000002</v>
      </c>
      <c r="D116" s="7">
        <v>0.2</v>
      </c>
      <c r="E116" s="7">
        <v>1</v>
      </c>
      <c r="F116" s="7">
        <v>7.5</v>
      </c>
      <c r="G116" s="7">
        <v>-2.2000000000000002</v>
      </c>
    </row>
    <row r="117" spans="2:12" x14ac:dyDescent="0.3">
      <c r="B117" s="1" t="s">
        <v>477</v>
      </c>
      <c r="C117" s="7">
        <v>8</v>
      </c>
      <c r="D117" s="105">
        <v>-40.200000000000003</v>
      </c>
      <c r="E117" s="7">
        <v>-47.9</v>
      </c>
      <c r="F117" s="7">
        <v>16</v>
      </c>
      <c r="G117" s="7">
        <v>-26.7</v>
      </c>
    </row>
    <row r="118" spans="2:12" x14ac:dyDescent="0.3">
      <c r="B118" s="1" t="s">
        <v>522</v>
      </c>
      <c r="C118" s="7">
        <v>24.4</v>
      </c>
      <c r="D118" s="105">
        <v>-30.3</v>
      </c>
      <c r="E118" s="7">
        <v>-75.599999999999994</v>
      </c>
      <c r="F118" s="7">
        <v>1.5</v>
      </c>
      <c r="G118" s="7">
        <v>24</v>
      </c>
    </row>
    <row r="119" spans="2:12" x14ac:dyDescent="0.3">
      <c r="B119" s="1" t="s">
        <v>492</v>
      </c>
      <c r="C119" s="7">
        <v>24.5</v>
      </c>
      <c r="D119" s="105">
        <v>50.3</v>
      </c>
      <c r="E119" s="7">
        <v>40.9</v>
      </c>
      <c r="F119" s="7">
        <v>-33</v>
      </c>
      <c r="G119" s="7">
        <v>-27.5</v>
      </c>
    </row>
    <row r="120" spans="2:12" x14ac:dyDescent="0.3">
      <c r="B120" s="1" t="s">
        <v>523</v>
      </c>
      <c r="C120" s="5" t="s">
        <v>462</v>
      </c>
      <c r="D120" s="104" t="s">
        <v>462</v>
      </c>
      <c r="E120" s="5" t="s">
        <v>462</v>
      </c>
      <c r="F120" s="7">
        <v>-5.4</v>
      </c>
      <c r="G120" s="7">
        <v>5.4</v>
      </c>
    </row>
    <row r="121" spans="2:12" x14ac:dyDescent="0.3">
      <c r="B121" s="1" t="s">
        <v>524</v>
      </c>
      <c r="C121" s="7">
        <v>-4.8</v>
      </c>
      <c r="D121" s="7">
        <v>-1.5</v>
      </c>
      <c r="E121" s="7">
        <v>-7.1</v>
      </c>
      <c r="F121" s="5" t="s">
        <v>462</v>
      </c>
      <c r="G121" s="5" t="s">
        <v>462</v>
      </c>
    </row>
    <row r="122" spans="2:12" x14ac:dyDescent="0.3">
      <c r="B122" s="1" t="s">
        <v>525</v>
      </c>
      <c r="C122" s="7">
        <v>-19.3</v>
      </c>
      <c r="D122" s="7">
        <v>-13</v>
      </c>
      <c r="E122" s="7">
        <v>-13.9</v>
      </c>
      <c r="F122" s="7">
        <v>-15.4</v>
      </c>
      <c r="G122" s="7">
        <v>-15.2</v>
      </c>
    </row>
    <row r="123" spans="2:12" x14ac:dyDescent="0.3">
      <c r="B123" s="1" t="s">
        <v>526</v>
      </c>
      <c r="C123" s="7">
        <f>SUM(C105:C122)</f>
        <v>197.5</v>
      </c>
      <c r="D123" s="7">
        <f t="shared" ref="D123:G123" si="2">SUM(D105:D122)</f>
        <v>141.19999999999993</v>
      </c>
      <c r="E123" s="7">
        <f t="shared" si="2"/>
        <v>102.20000000000007</v>
      </c>
      <c r="F123" s="7">
        <f t="shared" si="2"/>
        <v>178.59999999999997</v>
      </c>
      <c r="G123" s="7">
        <f t="shared" si="2"/>
        <v>62.699999999999989</v>
      </c>
      <c r="H123" s="100"/>
      <c r="I123" s="100"/>
      <c r="J123" s="100"/>
      <c r="K123" s="100"/>
      <c r="L123" s="100"/>
    </row>
    <row r="124" spans="2:12" x14ac:dyDescent="0.3">
      <c r="B124" s="6" t="s">
        <v>527</v>
      </c>
      <c r="C124" s="1"/>
      <c r="D124" s="1"/>
      <c r="E124" s="1"/>
      <c r="F124" s="1"/>
      <c r="G124" s="1"/>
    </row>
    <row r="125" spans="2:12" x14ac:dyDescent="0.3">
      <c r="B125" s="1" t="s">
        <v>528</v>
      </c>
      <c r="C125" s="7">
        <v>-43.1</v>
      </c>
      <c r="D125" s="7">
        <v>-35.299999999999997</v>
      </c>
      <c r="E125" s="7">
        <v>-44.9</v>
      </c>
      <c r="F125" s="7">
        <v>-24.7</v>
      </c>
      <c r="G125" s="7">
        <v>-51.7</v>
      </c>
    </row>
    <row r="126" spans="2:12" x14ac:dyDescent="0.3">
      <c r="B126" s="1" t="s">
        <v>529</v>
      </c>
      <c r="C126" s="7">
        <v>4.0999999999999996</v>
      </c>
      <c r="D126" s="5">
        <v>0</v>
      </c>
      <c r="E126" s="7">
        <v>13.4</v>
      </c>
      <c r="F126" s="7">
        <v>3.1</v>
      </c>
      <c r="G126" s="7">
        <v>2.1</v>
      </c>
    </row>
    <row r="127" spans="2:12" x14ac:dyDescent="0.3">
      <c r="B127" s="1" t="s">
        <v>530</v>
      </c>
      <c r="C127" s="7">
        <v>-10.9</v>
      </c>
      <c r="D127" s="7">
        <v>-135.5</v>
      </c>
      <c r="E127" s="7">
        <v>-114.7</v>
      </c>
      <c r="F127" s="7">
        <v>-49.5</v>
      </c>
      <c r="G127" s="7">
        <v>-731.2</v>
      </c>
    </row>
    <row r="128" spans="2:12" x14ac:dyDescent="0.3">
      <c r="B128" s="1" t="s">
        <v>531</v>
      </c>
      <c r="C128" s="7">
        <v>20.6</v>
      </c>
      <c r="D128" s="7">
        <v>333.7</v>
      </c>
      <c r="E128" s="7">
        <v>365.4</v>
      </c>
      <c r="F128" s="7">
        <v>3.3</v>
      </c>
      <c r="G128" s="7">
        <v>225.7</v>
      </c>
    </row>
    <row r="129" spans="2:7" x14ac:dyDescent="0.3">
      <c r="B129" s="1" t="s">
        <v>532</v>
      </c>
      <c r="C129" s="5" t="s">
        <v>462</v>
      </c>
      <c r="D129" s="5" t="s">
        <v>462</v>
      </c>
      <c r="E129" s="7">
        <v>-2.9</v>
      </c>
      <c r="F129" s="7">
        <v>-7.8</v>
      </c>
      <c r="G129" s="5" t="s">
        <v>462</v>
      </c>
    </row>
    <row r="130" spans="2:7" x14ac:dyDescent="0.3">
      <c r="B130" s="1" t="s">
        <v>533</v>
      </c>
      <c r="C130" s="5" t="s">
        <v>462</v>
      </c>
      <c r="D130" s="7">
        <v>38.299999999999997</v>
      </c>
      <c r="E130" s="5" t="s">
        <v>462</v>
      </c>
      <c r="F130" s="5" t="s">
        <v>462</v>
      </c>
      <c r="G130" s="5" t="s">
        <v>462</v>
      </c>
    </row>
    <row r="131" spans="2:7" x14ac:dyDescent="0.3">
      <c r="B131" s="1" t="s">
        <v>534</v>
      </c>
      <c r="C131" s="7">
        <v>-15.2</v>
      </c>
      <c r="D131" s="5" t="s">
        <v>462</v>
      </c>
      <c r="E131" s="5" t="s">
        <v>462</v>
      </c>
      <c r="F131" s="5" t="s">
        <v>462</v>
      </c>
      <c r="G131" s="5" t="s">
        <v>462</v>
      </c>
    </row>
    <row r="132" spans="2:7" x14ac:dyDescent="0.3">
      <c r="B132" s="1" t="s">
        <v>535</v>
      </c>
      <c r="C132" s="7">
        <v>0.2</v>
      </c>
      <c r="D132" s="5" t="s">
        <v>462</v>
      </c>
      <c r="E132" s="5" t="s">
        <v>462</v>
      </c>
      <c r="F132" s="5" t="s">
        <v>462</v>
      </c>
      <c r="G132" s="5" t="s">
        <v>462</v>
      </c>
    </row>
    <row r="133" spans="2:7" x14ac:dyDescent="0.3">
      <c r="B133" s="1" t="s">
        <v>536</v>
      </c>
      <c r="C133" s="5" t="s">
        <v>462</v>
      </c>
      <c r="D133" s="7">
        <v>0.1</v>
      </c>
      <c r="E133" s="5" t="s">
        <v>462</v>
      </c>
      <c r="F133" s="5" t="s">
        <v>462</v>
      </c>
      <c r="G133" s="5" t="s">
        <v>462</v>
      </c>
    </row>
    <row r="134" spans="2:7" x14ac:dyDescent="0.3">
      <c r="B134" s="1" t="s">
        <v>537</v>
      </c>
      <c r="C134" s="7">
        <v>2.4</v>
      </c>
      <c r="D134" s="7">
        <v>0.5</v>
      </c>
      <c r="E134" s="7">
        <v>1.9</v>
      </c>
      <c r="F134" s="7">
        <v>5.4</v>
      </c>
      <c r="G134" s="7">
        <v>7.1</v>
      </c>
    </row>
    <row r="135" spans="2:7" x14ac:dyDescent="0.3">
      <c r="B135" s="1" t="s">
        <v>538</v>
      </c>
      <c r="C135" s="7">
        <f>SUM(C125:C134)</f>
        <v>-41.9</v>
      </c>
      <c r="D135" s="7">
        <v>201.8</v>
      </c>
      <c r="E135" s="7">
        <v>218.2</v>
      </c>
      <c r="F135" s="7">
        <v>-70.2</v>
      </c>
      <c r="G135" s="7">
        <v>-548</v>
      </c>
    </row>
    <row r="136" spans="2:7" x14ac:dyDescent="0.3">
      <c r="B136" s="6" t="s">
        <v>539</v>
      </c>
      <c r="C136" s="1"/>
      <c r="D136" s="1"/>
      <c r="E136" s="1"/>
      <c r="F136" s="1"/>
      <c r="G136" s="1"/>
    </row>
    <row r="137" spans="2:7" x14ac:dyDescent="0.3">
      <c r="B137" s="1" t="s">
        <v>540</v>
      </c>
      <c r="C137" s="7">
        <v>-86.4</v>
      </c>
      <c r="D137" s="7">
        <v>-169.8</v>
      </c>
      <c r="E137" s="7">
        <v>-326.8</v>
      </c>
      <c r="F137" s="7">
        <v>-0.1</v>
      </c>
      <c r="G137" s="7">
        <v>-347.4</v>
      </c>
    </row>
    <row r="138" spans="2:7" x14ac:dyDescent="0.3">
      <c r="B138" s="1" t="s">
        <v>541</v>
      </c>
      <c r="C138" s="7">
        <v>0.3</v>
      </c>
      <c r="D138" s="7">
        <v>70</v>
      </c>
      <c r="E138" s="7">
        <v>326.2</v>
      </c>
      <c r="F138" s="5" t="s">
        <v>462</v>
      </c>
      <c r="G138" s="7">
        <v>954.1</v>
      </c>
    </row>
    <row r="139" spans="2:7" x14ac:dyDescent="0.3">
      <c r="B139" s="1" t="s">
        <v>542</v>
      </c>
      <c r="C139" s="7">
        <v>0.3</v>
      </c>
      <c r="D139" s="7">
        <v>0.3</v>
      </c>
      <c r="E139" s="7">
        <v>0.2</v>
      </c>
      <c r="F139" s="7">
        <v>0.6</v>
      </c>
      <c r="G139" s="7">
        <v>0.5</v>
      </c>
    </row>
    <row r="140" spans="2:7" x14ac:dyDescent="0.3">
      <c r="B140" s="1" t="s">
        <v>543</v>
      </c>
      <c r="C140" s="5" t="s">
        <v>462</v>
      </c>
      <c r="D140" s="5" t="s">
        <v>462</v>
      </c>
      <c r="E140" s="7">
        <v>-191</v>
      </c>
      <c r="F140" s="5" t="s">
        <v>462</v>
      </c>
      <c r="G140" s="7">
        <v>-96.7</v>
      </c>
    </row>
    <row r="141" spans="2:7" s="11" customFormat="1" x14ac:dyDescent="0.3">
      <c r="B141" s="6" t="s">
        <v>544</v>
      </c>
      <c r="C141" s="105">
        <v>-75.7</v>
      </c>
      <c r="D141" s="105">
        <v>-79</v>
      </c>
      <c r="E141" s="105">
        <v>-78.599999999999994</v>
      </c>
      <c r="F141" s="105">
        <v>-79.7</v>
      </c>
      <c r="G141" s="105">
        <v>-80.5</v>
      </c>
    </row>
    <row r="142" spans="2:7" x14ac:dyDescent="0.3">
      <c r="B142" s="1" t="s">
        <v>543</v>
      </c>
      <c r="C142" s="5" t="s">
        <v>462</v>
      </c>
      <c r="D142" s="7">
        <v>-201.3</v>
      </c>
      <c r="E142" s="5" t="s">
        <v>462</v>
      </c>
      <c r="F142" s="7">
        <v>-114.9</v>
      </c>
      <c r="G142" s="5" t="s">
        <v>462</v>
      </c>
    </row>
    <row r="143" spans="2:7" x14ac:dyDescent="0.3">
      <c r="B143" s="1" t="s">
        <v>545</v>
      </c>
      <c r="C143" s="7">
        <v>3</v>
      </c>
      <c r="D143" s="5" t="s">
        <v>462</v>
      </c>
      <c r="E143" s="5" t="s">
        <v>462</v>
      </c>
      <c r="F143" s="5" t="s">
        <v>462</v>
      </c>
      <c r="G143" s="5" t="s">
        <v>462</v>
      </c>
    </row>
    <row r="144" spans="2:7" x14ac:dyDescent="0.3">
      <c r="B144" s="1" t="s">
        <v>546</v>
      </c>
      <c r="C144" s="5" t="s">
        <v>462</v>
      </c>
      <c r="D144" s="5" t="s">
        <v>462</v>
      </c>
      <c r="E144" s="5" t="s">
        <v>462</v>
      </c>
      <c r="F144" s="5" t="s">
        <v>462</v>
      </c>
      <c r="G144" s="7">
        <v>39.6</v>
      </c>
    </row>
    <row r="145" spans="2:12" x14ac:dyDescent="0.3">
      <c r="B145" s="1" t="s">
        <v>547</v>
      </c>
      <c r="C145" s="7">
        <f>SUM(C137:C144)</f>
        <v>-158.5</v>
      </c>
      <c r="D145" s="7">
        <f>SUM(D137:D144)</f>
        <v>-379.8</v>
      </c>
      <c r="E145" s="7">
        <f>SUM(E137:E144)</f>
        <v>-270</v>
      </c>
      <c r="F145" s="7">
        <f>SUM(F137:F144)</f>
        <v>-194.10000000000002</v>
      </c>
      <c r="G145" s="7">
        <f>SUM(G137:G144)</f>
        <v>469.60000000000008</v>
      </c>
      <c r="H145" s="100"/>
      <c r="I145" s="100"/>
      <c r="J145" s="100"/>
      <c r="K145" s="100"/>
      <c r="L145" s="100"/>
    </row>
    <row r="146" spans="2:12" x14ac:dyDescent="0.3">
      <c r="B146" s="6" t="s">
        <v>238</v>
      </c>
      <c r="C146" s="1"/>
      <c r="D146" s="1"/>
      <c r="E146" s="1"/>
      <c r="F146" s="1"/>
      <c r="G146" s="1"/>
    </row>
    <row r="147" spans="2:12" x14ac:dyDescent="0.3">
      <c r="B147" s="1" t="s">
        <v>548</v>
      </c>
      <c r="C147" s="7">
        <f>SUM(C148,C145,C135,C123)</f>
        <v>-2.2000000000000171</v>
      </c>
      <c r="D147" s="7">
        <v>-43.1</v>
      </c>
      <c r="E147" s="7">
        <v>60.3</v>
      </c>
      <c r="F147" s="7">
        <v>-89.3</v>
      </c>
      <c r="G147" s="7">
        <v>-33.1</v>
      </c>
    </row>
    <row r="148" spans="2:12" x14ac:dyDescent="0.3">
      <c r="B148" s="1" t="s">
        <v>549</v>
      </c>
      <c r="C148" s="7">
        <v>0.7</v>
      </c>
      <c r="D148" s="7">
        <v>-6.3</v>
      </c>
      <c r="E148" s="7">
        <v>9.9</v>
      </c>
      <c r="F148" s="7">
        <v>-3.6</v>
      </c>
      <c r="G148" s="7">
        <v>-17.399999999999999</v>
      </c>
      <c r="H148" s="100"/>
      <c r="I148" s="100"/>
      <c r="J148" s="100"/>
      <c r="K148" s="100"/>
      <c r="L148" s="100"/>
    </row>
    <row r="149" spans="2:12" x14ac:dyDescent="0.3">
      <c r="C149" s="100"/>
      <c r="D149" s="100"/>
      <c r="E149" s="100"/>
      <c r="F149" s="100"/>
      <c r="G149" s="100"/>
    </row>
    <row r="150" spans="2:12" x14ac:dyDescent="0.3">
      <c r="C150" s="100"/>
      <c r="D150" s="100"/>
      <c r="E150" s="100"/>
      <c r="F150" s="100"/>
      <c r="G150" s="100" t="s">
        <v>550</v>
      </c>
    </row>
    <row r="151" spans="2:12" x14ac:dyDescent="0.3">
      <c r="C151" s="100"/>
      <c r="D151" s="100"/>
      <c r="E151" s="100"/>
      <c r="F151" s="100"/>
      <c r="G151" s="100"/>
    </row>
    <row r="152" spans="2:12" x14ac:dyDescent="0.3">
      <c r="C152" s="100"/>
      <c r="D152" s="100"/>
      <c r="E152" s="100"/>
      <c r="F152" s="100"/>
      <c r="G152" s="100"/>
    </row>
    <row r="153" spans="2:12" s="8" customFormat="1" ht="21" x14ac:dyDescent="0.4">
      <c r="B153" s="9" t="s">
        <v>551</v>
      </c>
    </row>
    <row r="155" spans="2:12" x14ac:dyDescent="0.3">
      <c r="B155" s="52" t="s">
        <v>552</v>
      </c>
      <c r="C155" s="52"/>
      <c r="D155" s="52"/>
      <c r="E155" s="52">
        <v>2022</v>
      </c>
      <c r="F155" s="52">
        <v>2023</v>
      </c>
      <c r="G155" s="52">
        <v>2024</v>
      </c>
      <c r="I155" t="s">
        <v>553</v>
      </c>
    </row>
    <row r="156" spans="2:12" s="54" customFormat="1" x14ac:dyDescent="0.3">
      <c r="B156" s="53"/>
      <c r="C156" s="53"/>
      <c r="D156" s="53"/>
      <c r="E156" s="53"/>
      <c r="F156" s="53"/>
      <c r="G156" s="53"/>
    </row>
    <row r="157" spans="2:12" x14ac:dyDescent="0.3">
      <c r="B157" s="48" t="s">
        <v>554</v>
      </c>
      <c r="G157" s="49">
        <v>776.7</v>
      </c>
    </row>
    <row r="158" spans="2:12" x14ac:dyDescent="0.3">
      <c r="B158" s="48" t="s">
        <v>555</v>
      </c>
      <c r="G158" s="49">
        <v>501.7</v>
      </c>
    </row>
    <row r="159" spans="2:12" x14ac:dyDescent="0.3">
      <c r="B159" s="48" t="s">
        <v>556</v>
      </c>
      <c r="G159" s="49">
        <v>20.3</v>
      </c>
    </row>
    <row r="160" spans="2:12" x14ac:dyDescent="0.3">
      <c r="B160" s="50" t="s">
        <v>557</v>
      </c>
      <c r="C160" s="47"/>
      <c r="D160" s="47"/>
      <c r="E160" s="25"/>
      <c r="F160" s="25"/>
      <c r="G160" s="55">
        <f>SUM(G157:G159)</f>
        <v>1298.7</v>
      </c>
    </row>
    <row r="162" spans="2:7" x14ac:dyDescent="0.3">
      <c r="B162" s="52" t="s">
        <v>558</v>
      </c>
      <c r="C162" s="52"/>
      <c r="D162" s="52"/>
      <c r="E162" s="52">
        <v>2022</v>
      </c>
      <c r="F162" s="52">
        <v>2023</v>
      </c>
      <c r="G162" s="52">
        <v>2024</v>
      </c>
    </row>
    <row r="163" spans="2:7" x14ac:dyDescent="0.3">
      <c r="B163" s="53"/>
      <c r="C163" s="53"/>
      <c r="D163" s="53"/>
      <c r="E163" s="53"/>
      <c r="F163" s="53"/>
      <c r="G163" s="53"/>
    </row>
    <row r="164" spans="2:7" x14ac:dyDescent="0.3">
      <c r="B164" s="48" t="s">
        <v>559</v>
      </c>
      <c r="G164" s="58">
        <f>G157/$G$160</f>
        <v>0.59805959805959807</v>
      </c>
    </row>
    <row r="165" spans="2:7" x14ac:dyDescent="0.3">
      <c r="B165" s="48" t="s">
        <v>560</v>
      </c>
      <c r="G165" s="58">
        <f>G159/$G$160</f>
        <v>1.563101563101563E-2</v>
      </c>
    </row>
    <row r="166" spans="2:7" x14ac:dyDescent="0.3">
      <c r="B166" s="48" t="s">
        <v>561</v>
      </c>
      <c r="G166" s="58">
        <f>G158/$G$160</f>
        <v>0.38630938630938627</v>
      </c>
    </row>
    <row r="167" spans="2:7" x14ac:dyDescent="0.3">
      <c r="B167" s="50" t="s">
        <v>557</v>
      </c>
      <c r="C167" s="47"/>
      <c r="D167" s="47"/>
      <c r="E167" s="25"/>
      <c r="F167" s="25"/>
      <c r="G167" s="57">
        <f>SUM(G164:G166)</f>
        <v>1</v>
      </c>
    </row>
    <row r="194" spans="2:7" s="8" customFormat="1" ht="21" x14ac:dyDescent="0.4">
      <c r="B194" s="9" t="s">
        <v>562</v>
      </c>
    </row>
    <row r="196" spans="2:7" x14ac:dyDescent="0.3">
      <c r="B196" s="52" t="s">
        <v>563</v>
      </c>
      <c r="C196" s="52"/>
      <c r="D196" s="52"/>
      <c r="E196" s="52"/>
      <c r="F196" s="52"/>
      <c r="G196" s="52">
        <v>2025</v>
      </c>
    </row>
    <row r="197" spans="2:7" x14ac:dyDescent="0.3">
      <c r="B197" s="53"/>
      <c r="C197" s="53"/>
      <c r="D197" s="53"/>
      <c r="E197" s="53"/>
      <c r="F197" s="53"/>
      <c r="G197" s="53"/>
    </row>
    <row r="198" spans="2:7" x14ac:dyDescent="0.3">
      <c r="B198" s="48" t="s">
        <v>564</v>
      </c>
      <c r="G198" s="49">
        <f>SUM(325.2,29.2)</f>
        <v>354.4</v>
      </c>
    </row>
    <row r="199" spans="2:7" x14ac:dyDescent="0.3">
      <c r="B199" s="48" t="s">
        <v>565</v>
      </c>
      <c r="G199" s="49">
        <f>SUM(123.3,53.5,191,44)</f>
        <v>411.8</v>
      </c>
    </row>
    <row r="200" spans="2:7" x14ac:dyDescent="0.3">
      <c r="B200" s="48" t="s">
        <v>566</v>
      </c>
      <c r="G200" s="49">
        <f>SUM(68.8,214.1,43.2,145.6)</f>
        <v>471.69999999999993</v>
      </c>
    </row>
    <row r="201" spans="2:7" x14ac:dyDescent="0.3">
      <c r="B201" s="48" t="s">
        <v>567</v>
      </c>
      <c r="G201" s="49">
        <v>60.5</v>
      </c>
    </row>
    <row r="202" spans="2:7" x14ac:dyDescent="0.3">
      <c r="B202" s="50" t="s">
        <v>557</v>
      </c>
      <c r="C202" s="47"/>
      <c r="D202" s="47"/>
      <c r="E202" s="25"/>
      <c r="F202" s="25"/>
      <c r="G202" s="55">
        <f>SUM(G198:G201)</f>
        <v>1298.4000000000001</v>
      </c>
    </row>
    <row r="203" spans="2:7" x14ac:dyDescent="0.3">
      <c r="B203" s="51"/>
      <c r="E203" s="11"/>
      <c r="F203" s="11"/>
      <c r="G203" s="59"/>
    </row>
    <row r="204" spans="2:7" x14ac:dyDescent="0.3">
      <c r="B204" s="52" t="s">
        <v>568</v>
      </c>
      <c r="C204" s="52"/>
      <c r="D204" s="52"/>
      <c r="E204" s="52"/>
      <c r="F204" s="52"/>
      <c r="G204" s="52">
        <v>2025</v>
      </c>
    </row>
    <row r="205" spans="2:7" x14ac:dyDescent="0.3">
      <c r="B205" s="53"/>
      <c r="C205" s="53"/>
      <c r="D205" s="53"/>
      <c r="E205" s="53"/>
      <c r="F205" s="53"/>
      <c r="G205" s="53"/>
    </row>
    <row r="206" spans="2:7" x14ac:dyDescent="0.3">
      <c r="B206" s="48" t="s">
        <v>564</v>
      </c>
      <c r="G206" s="58">
        <f t="shared" ref="G206" si="3">G198/$G$202</f>
        <v>0.27295132470733208</v>
      </c>
    </row>
    <row r="207" spans="2:7" x14ac:dyDescent="0.3">
      <c r="B207" s="48" t="s">
        <v>567</v>
      </c>
      <c r="G207" s="58">
        <f>G201/$G$202</f>
        <v>4.6595810227972885E-2</v>
      </c>
    </row>
    <row r="208" spans="2:7" x14ac:dyDescent="0.3">
      <c r="B208" s="48" t="s">
        <v>565</v>
      </c>
      <c r="G208" s="58">
        <f>G199/$G$202</f>
        <v>0.31715958102279729</v>
      </c>
    </row>
    <row r="209" spans="2:7" x14ac:dyDescent="0.3">
      <c r="B209" s="48" t="s">
        <v>566</v>
      </c>
      <c r="G209" s="58">
        <f>G200/$G$202</f>
        <v>0.36329328404189765</v>
      </c>
    </row>
    <row r="210" spans="2:7" x14ac:dyDescent="0.3">
      <c r="B210" s="50" t="s">
        <v>557</v>
      </c>
      <c r="C210" s="47"/>
      <c r="D210" s="47"/>
      <c r="E210" s="25"/>
      <c r="F210" s="25"/>
      <c r="G210" s="60">
        <f>SUM(G206:G209)</f>
        <v>0.99999999999999989</v>
      </c>
    </row>
    <row r="226" spans="2:2" x14ac:dyDescent="0.3">
      <c r="B226" t="s">
        <v>411</v>
      </c>
    </row>
    <row r="229" spans="2:2" x14ac:dyDescent="0.3">
      <c r="B229" t="s">
        <v>412</v>
      </c>
    </row>
    <row r="230" spans="2:2" x14ac:dyDescent="0.3">
      <c r="B230" t="s">
        <v>413</v>
      </c>
    </row>
    <row r="236" spans="2:2" x14ac:dyDescent="0.3">
      <c r="B236" t="s">
        <v>354</v>
      </c>
    </row>
    <row r="239" spans="2:2" x14ac:dyDescent="0.3">
      <c r="B239" t="s">
        <v>365</v>
      </c>
    </row>
    <row r="242" spans="2:7" x14ac:dyDescent="0.3">
      <c r="B242" s="52" t="s">
        <v>569</v>
      </c>
      <c r="C242" s="52"/>
      <c r="D242" s="52">
        <v>2021</v>
      </c>
      <c r="E242" s="52">
        <v>2022</v>
      </c>
      <c r="F242" s="52">
        <v>2023</v>
      </c>
      <c r="G242" s="52">
        <v>2024</v>
      </c>
    </row>
    <row r="243" spans="2:7" x14ac:dyDescent="0.3">
      <c r="B243" s="53"/>
      <c r="C243" s="53"/>
      <c r="D243" s="53"/>
      <c r="E243" s="53"/>
      <c r="F243" s="53"/>
      <c r="G243" s="53"/>
    </row>
    <row r="244" spans="2:7" x14ac:dyDescent="0.3">
      <c r="B244" s="48" t="s">
        <v>570</v>
      </c>
      <c r="D244" s="56">
        <v>0.21</v>
      </c>
      <c r="E244" s="56">
        <v>0.24</v>
      </c>
      <c r="F244" s="56">
        <v>0.18</v>
      </c>
      <c r="G244" s="56">
        <v>0.19</v>
      </c>
    </row>
    <row r="245" spans="2:7" x14ac:dyDescent="0.3">
      <c r="B245" s="48" t="s">
        <v>571</v>
      </c>
      <c r="D245" s="56">
        <v>0.08</v>
      </c>
      <c r="E245" s="56">
        <v>0.13</v>
      </c>
      <c r="F245" s="56">
        <v>0.12</v>
      </c>
      <c r="G245" s="56">
        <v>0.17</v>
      </c>
    </row>
    <row r="246" spans="2:7" x14ac:dyDescent="0.3">
      <c r="B246" s="48" t="s">
        <v>572</v>
      </c>
      <c r="D246" s="56">
        <v>0.12</v>
      </c>
      <c r="E246" s="56">
        <v>0.11</v>
      </c>
      <c r="F246" s="56">
        <v>0.16</v>
      </c>
      <c r="G246" s="56">
        <v>0.12</v>
      </c>
    </row>
    <row r="247" spans="2:7" x14ac:dyDescent="0.3">
      <c r="B247" s="48" t="s">
        <v>573</v>
      </c>
      <c r="D247" s="56">
        <v>0.09</v>
      </c>
      <c r="E247" s="56">
        <v>0.09</v>
      </c>
      <c r="F247" s="56">
        <v>0.1</v>
      </c>
      <c r="G247" s="56">
        <v>0.12</v>
      </c>
    </row>
    <row r="248" spans="2:7" x14ac:dyDescent="0.3">
      <c r="B248" s="48" t="s">
        <v>271</v>
      </c>
      <c r="D248" s="56">
        <v>0.12</v>
      </c>
      <c r="E248" s="56">
        <v>0.13</v>
      </c>
      <c r="F248" s="56">
        <v>0.1</v>
      </c>
      <c r="G248" s="56">
        <v>0.11</v>
      </c>
    </row>
    <row r="249" spans="2:7" x14ac:dyDescent="0.3">
      <c r="B249" s="48" t="s">
        <v>272</v>
      </c>
      <c r="D249" s="56">
        <v>0.08</v>
      </c>
      <c r="E249" s="56">
        <v>0.08</v>
      </c>
      <c r="F249" s="56">
        <v>0.1</v>
      </c>
      <c r="G249" s="56">
        <v>0.09</v>
      </c>
    </row>
    <row r="250" spans="2:7" x14ac:dyDescent="0.3">
      <c r="B250" s="48" t="s">
        <v>273</v>
      </c>
      <c r="D250" s="56">
        <v>0.3</v>
      </c>
      <c r="E250" s="56">
        <v>0.22</v>
      </c>
      <c r="F250" s="56">
        <v>0.24</v>
      </c>
      <c r="G250" s="56">
        <v>0.2</v>
      </c>
    </row>
    <row r="251" spans="2:7" x14ac:dyDescent="0.3">
      <c r="B251" s="50" t="s">
        <v>557</v>
      </c>
      <c r="C251" s="47"/>
      <c r="D251" s="57">
        <f>SUM(D244:D250)</f>
        <v>1</v>
      </c>
      <c r="E251" s="57">
        <f>SUM(E244:E250)</f>
        <v>0.99999999999999989</v>
      </c>
      <c r="F251" s="57">
        <f>SUM(F244:F250)</f>
        <v>0.99999999999999989</v>
      </c>
      <c r="G251" s="57">
        <f>SUM(G244:G250)</f>
        <v>1</v>
      </c>
    </row>
    <row r="265" spans="2:2" x14ac:dyDescent="0.3">
      <c r="B265" s="3" t="s">
        <v>574</v>
      </c>
    </row>
    <row r="266" spans="2:2" x14ac:dyDescent="0.3">
      <c r="B266" s="4">
        <v>45838</v>
      </c>
    </row>
    <row r="267" spans="2:2" x14ac:dyDescent="0.3">
      <c r="B267" s="5" t="s">
        <v>445</v>
      </c>
    </row>
    <row r="268" spans="2:2" x14ac:dyDescent="0.3">
      <c r="B268" s="5" t="s">
        <v>447</v>
      </c>
    </row>
    <row r="269" spans="2:2" x14ac:dyDescent="0.3">
      <c r="B269" s="1"/>
    </row>
    <row r="270" spans="2:2" x14ac:dyDescent="0.3">
      <c r="B270" s="7">
        <v>87.4</v>
      </c>
    </row>
    <row r="271" spans="2:2" x14ac:dyDescent="0.3">
      <c r="B271" s="7">
        <v>322</v>
      </c>
    </row>
    <row r="272" spans="2:2" x14ac:dyDescent="0.3">
      <c r="B272" s="7">
        <v>9.5</v>
      </c>
    </row>
    <row r="273" spans="2:2" x14ac:dyDescent="0.3">
      <c r="B273" s="7">
        <v>266.2</v>
      </c>
    </row>
    <row r="274" spans="2:2" x14ac:dyDescent="0.3">
      <c r="B274" s="7">
        <v>6.1</v>
      </c>
    </row>
    <row r="275" spans="2:2" x14ac:dyDescent="0.3">
      <c r="B275" s="7">
        <v>691.2</v>
      </c>
    </row>
    <row r="276" spans="2:2" x14ac:dyDescent="0.3">
      <c r="B276" s="1"/>
    </row>
    <row r="277" spans="2:2" x14ac:dyDescent="0.3">
      <c r="B277" s="7">
        <v>70.099999999999994</v>
      </c>
    </row>
    <row r="278" spans="2:2" x14ac:dyDescent="0.3">
      <c r="B278" s="7">
        <v>177.6</v>
      </c>
    </row>
    <row r="279" spans="2:2" x14ac:dyDescent="0.3">
      <c r="B279" s="7">
        <v>9.6</v>
      </c>
    </row>
    <row r="280" spans="2:2" x14ac:dyDescent="0.3">
      <c r="B280" s="7">
        <v>23.7</v>
      </c>
    </row>
    <row r="281" spans="2:2" x14ac:dyDescent="0.3">
      <c r="B281" s="7">
        <v>20.5</v>
      </c>
    </row>
    <row r="282" spans="2:2" x14ac:dyDescent="0.3">
      <c r="B282" s="7">
        <v>24.2</v>
      </c>
    </row>
    <row r="283" spans="2:2" x14ac:dyDescent="0.3">
      <c r="B283" s="7">
        <v>1.4</v>
      </c>
    </row>
    <row r="284" spans="2:2" x14ac:dyDescent="0.3">
      <c r="B284" s="7">
        <v>8.6</v>
      </c>
    </row>
    <row r="285" spans="2:2" x14ac:dyDescent="0.3">
      <c r="B285" s="7">
        <v>1042.0999999999999</v>
      </c>
    </row>
    <row r="286" spans="2:2" x14ac:dyDescent="0.3">
      <c r="B286" s="7">
        <v>370.1</v>
      </c>
    </row>
    <row r="287" spans="2:2" x14ac:dyDescent="0.3">
      <c r="B287" s="7">
        <v>5</v>
      </c>
    </row>
    <row r="288" spans="2:2" x14ac:dyDescent="0.3">
      <c r="B288" s="7">
        <v>2444.1</v>
      </c>
    </row>
    <row r="289" spans="2:2" x14ac:dyDescent="0.3">
      <c r="B289" s="1"/>
    </row>
    <row r="290" spans="2:2" x14ac:dyDescent="0.3">
      <c r="B290" s="7">
        <v>338</v>
      </c>
    </row>
    <row r="291" spans="2:2" x14ac:dyDescent="0.3">
      <c r="B291" s="7">
        <v>6.3</v>
      </c>
    </row>
    <row r="292" spans="2:2" x14ac:dyDescent="0.3">
      <c r="B292" s="7">
        <v>18.3</v>
      </c>
    </row>
    <row r="293" spans="2:2" x14ac:dyDescent="0.3">
      <c r="B293" s="7">
        <v>5.2</v>
      </c>
    </row>
    <row r="294" spans="2:2" x14ac:dyDescent="0.3">
      <c r="B294" s="7">
        <v>20.5</v>
      </c>
    </row>
    <row r="295" spans="2:2" x14ac:dyDescent="0.3">
      <c r="B295" s="7">
        <v>0.4</v>
      </c>
    </row>
    <row r="296" spans="2:2" x14ac:dyDescent="0.3">
      <c r="B296" s="7">
        <v>388.7</v>
      </c>
    </row>
    <row r="297" spans="2:2" x14ac:dyDescent="0.3">
      <c r="B297" s="1"/>
    </row>
    <row r="298" spans="2:2" x14ac:dyDescent="0.3">
      <c r="B298" s="7">
        <v>626.79999999999995</v>
      </c>
    </row>
    <row r="299" spans="2:2" x14ac:dyDescent="0.3">
      <c r="B299" s="7">
        <v>58.2</v>
      </c>
    </row>
    <row r="300" spans="2:2" x14ac:dyDescent="0.3">
      <c r="B300" s="7">
        <v>11.1</v>
      </c>
    </row>
    <row r="301" spans="2:2" x14ac:dyDescent="0.3">
      <c r="B301" s="7">
        <v>36.4</v>
      </c>
    </row>
    <row r="302" spans="2:2" x14ac:dyDescent="0.3">
      <c r="B302" s="5" t="s">
        <v>462</v>
      </c>
    </row>
    <row r="303" spans="2:2" x14ac:dyDescent="0.3">
      <c r="B303" s="5" t="s">
        <v>462</v>
      </c>
    </row>
    <row r="304" spans="2:2" x14ac:dyDescent="0.3">
      <c r="B304" s="7">
        <v>-0.7</v>
      </c>
    </row>
    <row r="305" spans="2:12" x14ac:dyDescent="0.3">
      <c r="B305" s="5" t="s">
        <v>462</v>
      </c>
    </row>
    <row r="306" spans="2:12" x14ac:dyDescent="0.3">
      <c r="B306" s="5" t="s">
        <v>462</v>
      </c>
    </row>
    <row r="307" spans="2:12" x14ac:dyDescent="0.3">
      <c r="B307" s="7">
        <v>1.5</v>
      </c>
    </row>
    <row r="308" spans="2:12" x14ac:dyDescent="0.3">
      <c r="B308" s="5" t="s">
        <v>462</v>
      </c>
    </row>
    <row r="309" spans="2:12" x14ac:dyDescent="0.3">
      <c r="B309" s="5" t="s">
        <v>462</v>
      </c>
    </row>
    <row r="310" spans="2:12" x14ac:dyDescent="0.3">
      <c r="B310" s="5" t="s">
        <v>462</v>
      </c>
    </row>
    <row r="311" spans="2:12" x14ac:dyDescent="0.3">
      <c r="B311" s="7">
        <v>16.7</v>
      </c>
      <c r="K311">
        <f>SUM(K309:K310)</f>
        <v>0</v>
      </c>
      <c r="L311">
        <f>SUM(L309:L310)</f>
        <v>0</v>
      </c>
    </row>
    <row r="312" spans="2:12" x14ac:dyDescent="0.3">
      <c r="B312" s="1"/>
    </row>
    <row r="313" spans="2:12" x14ac:dyDescent="0.3">
      <c r="B313" s="7">
        <v>5.2</v>
      </c>
    </row>
    <row r="314" spans="2:12" x14ac:dyDescent="0.3">
      <c r="B314" s="7">
        <v>231.4</v>
      </c>
    </row>
    <row r="315" spans="2:12" x14ac:dyDescent="0.3">
      <c r="B315" s="5" t="s">
        <v>462</v>
      </c>
    </row>
    <row r="316" spans="2:12" x14ac:dyDescent="0.3">
      <c r="B316" s="7">
        <v>1099.0999999999999</v>
      </c>
    </row>
    <row r="317" spans="2:12" x14ac:dyDescent="0.3">
      <c r="B317" s="5" t="s">
        <v>462</v>
      </c>
    </row>
    <row r="318" spans="2:12" x14ac:dyDescent="0.3">
      <c r="B318" s="5" t="s">
        <v>462</v>
      </c>
    </row>
    <row r="319" spans="2:12" x14ac:dyDescent="0.3">
      <c r="B319" s="7">
        <v>1.9</v>
      </c>
    </row>
    <row r="320" spans="2:12" x14ac:dyDescent="0.3">
      <c r="B320" s="7">
        <v>-36.6</v>
      </c>
    </row>
    <row r="321" spans="2:2" x14ac:dyDescent="0.3">
      <c r="B321" s="7">
        <v>3.1</v>
      </c>
    </row>
    <row r="322" spans="2:2" x14ac:dyDescent="0.3">
      <c r="B322" s="5" t="s">
        <v>462</v>
      </c>
    </row>
    <row r="323" spans="2:2" x14ac:dyDescent="0.3">
      <c r="B323" s="5" t="s">
        <v>462</v>
      </c>
    </row>
    <row r="324" spans="2:2" x14ac:dyDescent="0.3">
      <c r="B324" s="5" t="s">
        <v>462</v>
      </c>
    </row>
    <row r="325" spans="2:2" x14ac:dyDescent="0.3">
      <c r="B325" s="7">
        <v>1.3</v>
      </c>
    </row>
    <row r="326" spans="2:2" x14ac:dyDescent="0.3">
      <c r="B326" s="7">
        <v>1305.4000000000001</v>
      </c>
    </row>
    <row r="327" spans="2:2" x14ac:dyDescent="0.3">
      <c r="B327" s="7">
        <v>2444.1</v>
      </c>
    </row>
    <row r="328" spans="2:2" x14ac:dyDescent="0.3">
      <c r="B328" s="5" t="s">
        <v>462</v>
      </c>
    </row>
    <row r="329" spans="2:2" x14ac:dyDescent="0.3">
      <c r="B329" s="5" t="s">
        <v>462</v>
      </c>
    </row>
    <row r="419" spans="3:16" x14ac:dyDescent="0.3">
      <c r="C419" s="18" t="str">
        <f t="shared" ref="C419:C423" si="4">IFERROR(XIRR(J419:P419,$J$401:$P$401),"N/A")</f>
        <v>N/A</v>
      </c>
      <c r="D419" s="24">
        <f t="shared" ref="D419:D424" si="5">SUM(K419:P419)/-J419</f>
        <v>0</v>
      </c>
      <c r="J419" s="107">
        <v>-3052.4276438850202</v>
      </c>
      <c r="K419" s="97">
        <v>0</v>
      </c>
      <c r="L419" s="97">
        <v>0</v>
      </c>
      <c r="M419" s="97">
        <v>0</v>
      </c>
      <c r="N419" s="97">
        <v>0</v>
      </c>
      <c r="O419" s="97">
        <v>0</v>
      </c>
      <c r="P419" s="97">
        <v>0</v>
      </c>
    </row>
    <row r="420" spans="3:16" x14ac:dyDescent="0.3">
      <c r="C420" s="18" t="str">
        <f t="shared" si="4"/>
        <v>N/A</v>
      </c>
      <c r="D420" s="24">
        <f t="shared" si="5"/>
        <v>0</v>
      </c>
      <c r="J420" s="97">
        <v>-3052.4276438850202</v>
      </c>
      <c r="K420" s="97">
        <v>0</v>
      </c>
      <c r="L420" s="97">
        <v>0</v>
      </c>
      <c r="M420" s="97">
        <v>0</v>
      </c>
      <c r="N420" s="97">
        <v>0</v>
      </c>
      <c r="O420" s="97">
        <v>0</v>
      </c>
      <c r="P420" s="97">
        <v>0</v>
      </c>
    </row>
    <row r="421" spans="3:16" x14ac:dyDescent="0.3">
      <c r="C421" s="18" t="str">
        <f t="shared" si="4"/>
        <v>N/A</v>
      </c>
      <c r="D421" s="24">
        <f t="shared" si="5"/>
        <v>0</v>
      </c>
      <c r="J421" s="97">
        <v>-3052.4276438850202</v>
      </c>
      <c r="K421" s="97">
        <v>0</v>
      </c>
      <c r="L421" s="97">
        <v>0</v>
      </c>
      <c r="M421" s="97">
        <v>0</v>
      </c>
      <c r="N421" s="97">
        <v>0</v>
      </c>
      <c r="O421" s="97">
        <v>0</v>
      </c>
      <c r="P421" s="97">
        <v>0</v>
      </c>
    </row>
    <row r="422" spans="3:16" x14ac:dyDescent="0.3">
      <c r="C422" s="18" t="str">
        <f t="shared" si="4"/>
        <v>N/A</v>
      </c>
      <c r="D422" s="24">
        <f t="shared" si="5"/>
        <v>0</v>
      </c>
      <c r="J422" s="97">
        <v>-3052.4276438850202</v>
      </c>
      <c r="K422" s="97">
        <v>0</v>
      </c>
      <c r="L422" s="97">
        <v>0</v>
      </c>
      <c r="M422" s="97">
        <v>0</v>
      </c>
      <c r="N422" s="97">
        <v>0</v>
      </c>
      <c r="O422" s="97">
        <v>0</v>
      </c>
      <c r="P422" s="97">
        <v>0</v>
      </c>
    </row>
    <row r="423" spans="3:16" x14ac:dyDescent="0.3">
      <c r="C423" s="18" t="str">
        <f t="shared" si="4"/>
        <v>N/A</v>
      </c>
      <c r="D423" s="24">
        <f t="shared" si="5"/>
        <v>0</v>
      </c>
      <c r="J423" s="97">
        <v>-3052.4276438850202</v>
      </c>
      <c r="K423" s="97">
        <v>0</v>
      </c>
      <c r="L423" s="97">
        <v>0</v>
      </c>
      <c r="M423" s="97">
        <v>0</v>
      </c>
      <c r="N423" s="97">
        <v>0</v>
      </c>
      <c r="O423" s="97">
        <v>0</v>
      </c>
      <c r="P423" s="97">
        <v>0</v>
      </c>
    </row>
    <row r="424" spans="3:16" x14ac:dyDescent="0.3">
      <c r="C424" s="18" t="str">
        <f>IFERROR(XIRR(J424:P424,$J$401:$P$401),"N/A")</f>
        <v>N/A</v>
      </c>
      <c r="D424" s="24">
        <f t="shared" si="5"/>
        <v>0</v>
      </c>
      <c r="J424" s="97">
        <v>-3052.4276438850202</v>
      </c>
      <c r="K424" s="97">
        <v>0</v>
      </c>
      <c r="L424" s="97">
        <v>0</v>
      </c>
      <c r="M424" s="97">
        <v>0</v>
      </c>
      <c r="N424" s="97">
        <v>0</v>
      </c>
      <c r="O424" s="97">
        <v>0</v>
      </c>
      <c r="P424" s="97">
        <v>0</v>
      </c>
    </row>
  </sheetData>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7c1a52b-17a3-4d95-bcc1-bac7c37e3c9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85AE61F82C4C74B895F55BE07AB4FE4" ma:contentTypeVersion="6" ma:contentTypeDescription="Create a new document." ma:contentTypeScope="" ma:versionID="cc04fa86ad7524bb800f63e539ae4c30">
  <xsd:schema xmlns:xsd="http://www.w3.org/2001/XMLSchema" xmlns:xs="http://www.w3.org/2001/XMLSchema" xmlns:p="http://schemas.microsoft.com/office/2006/metadata/properties" xmlns:ns3="d7c1a52b-17a3-4d95-bcc1-bac7c37e3c9d" targetNamespace="http://schemas.microsoft.com/office/2006/metadata/properties" ma:root="true" ma:fieldsID="c0c4ff747f901f909e5be1e262ba6ce1" ns3:_="">
    <xsd:import namespace="d7c1a52b-17a3-4d95-bcc1-bac7c37e3c9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c1a52b-17a3-4d95-bcc1-bac7c37e3c9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DB05CC-CE6D-4432-94A8-ED56D3D3E784}">
  <ds:schemaRefs>
    <ds:schemaRef ds:uri="http://schemas.microsoft.com/office/2006/metadata/properties"/>
    <ds:schemaRef ds:uri="http://schemas.microsoft.com/office/infopath/2007/PartnerControls"/>
    <ds:schemaRef ds:uri="d7c1a52b-17a3-4d95-bcc1-bac7c37e3c9d"/>
  </ds:schemaRefs>
</ds:datastoreItem>
</file>

<file path=customXml/itemProps2.xml><?xml version="1.0" encoding="utf-8"?>
<ds:datastoreItem xmlns:ds="http://schemas.openxmlformats.org/officeDocument/2006/customXml" ds:itemID="{E3D5DBE9-7764-4F3A-A99C-FEEABF7CBFFE}">
  <ds:schemaRefs>
    <ds:schemaRef ds:uri="http://schemas.microsoft.com/sharepoint/v3/contenttype/forms"/>
  </ds:schemaRefs>
</ds:datastoreItem>
</file>

<file path=customXml/itemProps3.xml><?xml version="1.0" encoding="utf-8"?>
<ds:datastoreItem xmlns:ds="http://schemas.openxmlformats.org/officeDocument/2006/customXml" ds:itemID="{5171311F-E80C-44EE-B569-8897ECF5C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c1a52b-17a3-4d95-bcc1-bac7c37e3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567eafd-e777-42a5-91bb-9440fd43b893}" enabled="0" method="" siteId="{5567eafd-e777-42a5-91bb-9440fd43b89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Outputs </vt:lpstr>
      <vt:lpstr>Transaction Details</vt:lpstr>
      <vt:lpstr>Inputs and Drivers</vt:lpstr>
      <vt:lpstr>Model</vt:lpstr>
      <vt:lpstr>Share Price Data</vt:lpstr>
      <vt:lpstr>Graphs</vt:lpstr>
      <vt:lpstr>Spectris Raw Data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Paraskeva,W (ug)</dc:creator>
  <cp:keywords/>
  <dc:description/>
  <cp:lastModifiedBy>Kumar4,T (ug)</cp:lastModifiedBy>
  <cp:revision/>
  <dcterms:created xsi:type="dcterms:W3CDTF">2025-11-12T14:53:09Z</dcterms:created>
  <dcterms:modified xsi:type="dcterms:W3CDTF">2026-02-11T11:12:31Z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0x010100D85AE61F82C4C74B895F55BE07AB4FE4</vt:lpwstr>
  </property>
  <property fmtid="{D5CDD505-2E9C-101B-9397-08002B2CF9AE}" pid="3" name="{A44787D4-0540-4523-9961-78E4036D8C6D}">
    <vt:lpwstr>{4F72DDD8-F6BC-4398-BC59-39CBA730B5A7}</vt:lpwstr>
  </property>
</Properties>
</file>