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omments3.xml" ContentType="application/vnd.openxmlformats-officedocument.spreadsheetml.comments+xml"/>
  <Override PartName="/xl/comments4.xml" ContentType="application/vnd.openxmlformats-officedocument.spreadsheetml.comments+xml"/>
  <Override PartName="/xl/drawings/drawing3.xml" ContentType="application/vnd.openxmlformats-officedocument.drawing+xml"/>
  <Override PartName="/xl/comments5.xml" ContentType="application/vnd.openxmlformats-officedocument.spreadsheetml.comments+xml"/>
  <Override PartName="/xl/drawings/drawing4.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omments6.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mc:AlternateContent xmlns:mc="http://schemas.openxmlformats.org/markup-compatibility/2006">
    <mc:Choice Requires="x15">
      <x15ac:absPath xmlns:x15ac="http://schemas.microsoft.com/office/spreadsheetml/2010/11/ac" url="https://lsecloud-my.sharepoint.com/personal/h_yu30_lse_ac_uk/Documents/PES 25-26/PES Research 25-26/Pipeline Reports/Permira - Squarespace/"/>
    </mc:Choice>
  </mc:AlternateContent>
  <xr:revisionPtr revIDLastSave="1115" documentId="8_{83B66DF6-76BC-4469-873A-6AB9A9D2B166}" xr6:coauthVersionLast="47" xr6:coauthVersionMax="47" xr10:uidLastSave="{5421D796-0B6E-4770-B5F6-6F4DDB8199F8}"/>
  <bookViews>
    <workbookView xWindow="43080" yWindow="-120" windowWidth="29040" windowHeight="15720" tabRatio="601" xr2:uid="{3A2FD41A-AAD1-47A5-8DB9-30CC35C60449}"/>
  </bookViews>
  <sheets>
    <sheet name="Cover" sheetId="10" r:id="rId1"/>
    <sheet name="Transaction Details" sheetId="8" r:id="rId2"/>
    <sheet name="Key Inputs and Drivers" sheetId="7" r:id="rId3"/>
    <sheet name="Model" sheetId="6" r:id="rId4"/>
    <sheet name="Appendix" sheetId="1" r:id="rId5"/>
    <sheet name="Graphs" sheetId="20" r:id="rId6"/>
    <sheet name="Historical IS" sheetId="11" r:id="rId7"/>
    <sheet name="Historical BS" sheetId="13" r:id="rId8"/>
    <sheet name="Historical CFS" sheetId="14" r:id="rId9"/>
    <sheet name="Historical SOFR Rates" sheetId="15" r:id="rId10"/>
    <sheet name="Comps Part 1" sheetId="18" r:id="rId11"/>
    <sheet name="Comps Part 2" sheetId="19" r:id="rId12"/>
  </sheets>
  <definedNames>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s>
  <calcPr calcId="191028" iterate="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62" i="20" l="1"/>
  <c r="J62" i="20" s="1"/>
  <c r="K62" i="20" s="1"/>
  <c r="L62" i="20" s="1"/>
  <c r="M62" i="20" s="1"/>
  <c r="N62" i="20" s="1"/>
  <c r="I30" i="20"/>
  <c r="J30" i="20"/>
  <c r="K30" i="20"/>
  <c r="L30" i="20"/>
  <c r="M30" i="20"/>
  <c r="N30" i="20"/>
  <c r="H30" i="20"/>
  <c r="D6" i="20"/>
  <c r="N6" i="20"/>
  <c r="D7" i="20"/>
  <c r="I7" i="20"/>
  <c r="I8" i="20"/>
  <c r="I9" i="20"/>
  <c r="D12" i="20"/>
  <c r="D13" i="20"/>
  <c r="D14" i="20"/>
  <c r="D15" i="20"/>
  <c r="S477" i="6"/>
  <c r="S492" i="6"/>
  <c r="G10" i="6"/>
  <c r="L436" i="6"/>
  <c r="G114" i="7"/>
  <c r="M114" i="7"/>
  <c r="N114" i="7" s="1"/>
  <c r="O114" i="7" s="1"/>
  <c r="P114" i="7" s="1"/>
  <c r="Q114" i="7" s="1"/>
  <c r="R114" i="7" s="1"/>
  <c r="S432" i="6"/>
  <c r="T101" i="20"/>
  <c r="S101" i="20"/>
  <c r="R101" i="20"/>
  <c r="Q101" i="20"/>
  <c r="P101" i="20"/>
  <c r="O101" i="20"/>
  <c r="N101" i="20"/>
  <c r="J182" i="20"/>
  <c r="I182" i="20"/>
  <c r="H182" i="20"/>
  <c r="G182" i="20"/>
  <c r="F182" i="20"/>
  <c r="E182" i="20"/>
  <c r="D182" i="20"/>
  <c r="D158" i="20"/>
  <c r="E158" i="20" s="1"/>
  <c r="F158" i="20" s="1"/>
  <c r="G158" i="20" s="1"/>
  <c r="G159" i="20"/>
  <c r="E133" i="20" l="1"/>
  <c r="F133" i="20" s="1"/>
  <c r="G133" i="20" s="1"/>
  <c r="H133" i="20" s="1"/>
  <c r="D128" i="20" a="1"/>
  <c r="D128" i="20" s="1"/>
  <c r="B128" i="20" a="1"/>
  <c r="B128" i="20" s="1"/>
  <c r="M89" i="7"/>
  <c r="N89" i="7" s="1"/>
  <c r="O89" i="7" s="1"/>
  <c r="P89" i="7" s="1"/>
  <c r="Q89" i="7" s="1"/>
  <c r="R89" i="7" s="1"/>
  <c r="F129" i="20" l="1"/>
  <c r="F130" i="20"/>
  <c r="T4" i="6"/>
  <c r="S4" i="6"/>
  <c r="H15" i="8"/>
  <c r="O53" i="20"/>
  <c r="O54" i="20" s="1"/>
  <c r="O55" i="20" s="1"/>
  <c r="O56" i="20" s="1"/>
  <c r="O57" i="20" s="1"/>
  <c r="I26" i="20"/>
  <c r="J26" i="20" s="1"/>
  <c r="K26" i="20" s="1"/>
  <c r="L26" i="20" s="1"/>
  <c r="M26" i="20" s="1"/>
  <c r="N26" i="20" s="1"/>
  <c r="E39" i="13" l="1"/>
  <c r="F39" i="13"/>
  <c r="G39" i="13"/>
  <c r="D39" i="13"/>
  <c r="S147" i="6"/>
  <c r="S148" i="6"/>
  <c r="S149" i="6"/>
  <c r="S570" i="6"/>
  <c r="N591" i="6"/>
  <c r="O591" i="6"/>
  <c r="P591" i="6"/>
  <c r="Q591" i="6"/>
  <c r="R591" i="6"/>
  <c r="M591" i="6"/>
  <c r="T591" i="6"/>
  <c r="L591" i="6" s="1"/>
  <c r="S582" i="6"/>
  <c r="S586" i="6" s="1"/>
  <c r="S91" i="6" s="1"/>
  <c r="N585" i="6"/>
  <c r="O585" i="6"/>
  <c r="P585" i="6"/>
  <c r="Q585" i="6"/>
  <c r="R585" i="6"/>
  <c r="M585" i="6"/>
  <c r="T585" i="6"/>
  <c r="L585" i="6" s="1"/>
  <c r="N575" i="6"/>
  <c r="O575" i="6" s="1"/>
  <c r="P575" i="6" s="1"/>
  <c r="Q575" i="6" s="1"/>
  <c r="R575" i="6" s="1"/>
  <c r="T136" i="6"/>
  <c r="S136" i="6"/>
  <c r="R136" i="6"/>
  <c r="Q136" i="6"/>
  <c r="P136" i="6"/>
  <c r="O136" i="6"/>
  <c r="N136" i="6"/>
  <c r="M136" i="6"/>
  <c r="L136" i="6"/>
  <c r="S568" i="6"/>
  <c r="S569" i="6"/>
  <c r="S561" i="6"/>
  <c r="S562" i="6"/>
  <c r="N539" i="6"/>
  <c r="O539" i="6" s="1"/>
  <c r="P539" i="6" s="1"/>
  <c r="Q539" i="6" s="1"/>
  <c r="R539" i="6" s="1"/>
  <c r="L535" i="6"/>
  <c r="S533" i="6"/>
  <c r="S556" i="6" s="1"/>
  <c r="S519" i="6"/>
  <c r="S555" i="6" s="1"/>
  <c r="S437" i="6"/>
  <c r="S554" i="6" s="1"/>
  <c r="S64" i="6" s="1"/>
  <c r="L135" i="6"/>
  <c r="T135" i="6" s="1"/>
  <c r="T583" i="6" s="1"/>
  <c r="L583" i="6" s="1"/>
  <c r="S115" i="6"/>
  <c r="T115" i="6"/>
  <c r="N457" i="6"/>
  <c r="O457" i="6" s="1"/>
  <c r="P457" i="6" s="1"/>
  <c r="Q457" i="6" s="1"/>
  <c r="R457" i="6" s="1"/>
  <c r="S546" i="6"/>
  <c r="L416" i="6"/>
  <c r="M421" i="6"/>
  <c r="M458" i="6" s="1"/>
  <c r="M540" i="6" s="1"/>
  <c r="M576" i="6" s="1"/>
  <c r="N421" i="6"/>
  <c r="N458" i="6" s="1"/>
  <c r="N540" i="6" s="1"/>
  <c r="N576" i="6" s="1"/>
  <c r="O421" i="6"/>
  <c r="O458" i="6" s="1"/>
  <c r="O540" i="6" s="1"/>
  <c r="O576" i="6" s="1"/>
  <c r="P421" i="6"/>
  <c r="P458" i="6" s="1"/>
  <c r="P540" i="6" s="1"/>
  <c r="P576" i="6" s="1"/>
  <c r="Q421" i="6"/>
  <c r="Q458" i="6" s="1"/>
  <c r="Q540" i="6" s="1"/>
  <c r="Q576" i="6" s="1"/>
  <c r="R421" i="6"/>
  <c r="R458" i="6" s="1"/>
  <c r="R540" i="6" s="1"/>
  <c r="R576" i="6" s="1"/>
  <c r="S421" i="6"/>
  <c r="S458" i="6" s="1"/>
  <c r="S540" i="6" s="1"/>
  <c r="S576" i="6" s="1"/>
  <c r="T421" i="6"/>
  <c r="T458" i="6" s="1"/>
  <c r="T540" i="6" s="1"/>
  <c r="T576" i="6" s="1"/>
  <c r="M424" i="6"/>
  <c r="M461" i="6" s="1"/>
  <c r="M543" i="6" s="1"/>
  <c r="M579" i="6" s="1"/>
  <c r="N424" i="6"/>
  <c r="N461" i="6" s="1"/>
  <c r="N543" i="6" s="1"/>
  <c r="N579" i="6" s="1"/>
  <c r="O424" i="6"/>
  <c r="O461" i="6" s="1"/>
  <c r="O543" i="6" s="1"/>
  <c r="O579" i="6" s="1"/>
  <c r="P424" i="6"/>
  <c r="P461" i="6" s="1"/>
  <c r="P543" i="6" s="1"/>
  <c r="P579" i="6" s="1"/>
  <c r="Q424" i="6"/>
  <c r="Q461" i="6" s="1"/>
  <c r="Q543" i="6" s="1"/>
  <c r="Q579" i="6" s="1"/>
  <c r="R424" i="6"/>
  <c r="R461" i="6" s="1"/>
  <c r="R543" i="6" s="1"/>
  <c r="R579" i="6" s="1"/>
  <c r="S424" i="6"/>
  <c r="S461" i="6" s="1"/>
  <c r="S543" i="6" s="1"/>
  <c r="S579" i="6" s="1"/>
  <c r="T424" i="6"/>
  <c r="T461" i="6" s="1"/>
  <c r="T543" i="6" s="1"/>
  <c r="T579" i="6" s="1"/>
  <c r="L424" i="6"/>
  <c r="L461" i="6" s="1"/>
  <c r="L543" i="6" s="1"/>
  <c r="L579" i="6" s="1"/>
  <c r="L421" i="6"/>
  <c r="L458" i="6" s="1"/>
  <c r="L540" i="6" s="1"/>
  <c r="L576" i="6" s="1"/>
  <c r="N420" i="6"/>
  <c r="O420" i="6" s="1"/>
  <c r="P420" i="6" s="1"/>
  <c r="Q420" i="6" s="1"/>
  <c r="R420" i="6" s="1"/>
  <c r="S550" i="6" l="1"/>
  <c r="S137" i="6"/>
  <c r="S76" i="6"/>
  <c r="N416" i="6"/>
  <c r="M416" i="6"/>
  <c r="S416" i="6"/>
  <c r="S571" i="6"/>
  <c r="S24" i="6" s="1"/>
  <c r="S447" i="6"/>
  <c r="S452" i="6"/>
  <c r="T406" i="6"/>
  <c r="S406" i="6"/>
  <c r="R406" i="6"/>
  <c r="Q406" i="6"/>
  <c r="P406" i="6"/>
  <c r="O406" i="6"/>
  <c r="N406" i="6"/>
  <c r="M406" i="6"/>
  <c r="L406" i="6"/>
  <c r="K406" i="6"/>
  <c r="J406" i="6"/>
  <c r="I406" i="6"/>
  <c r="H406" i="6"/>
  <c r="T405" i="6"/>
  <c r="S405" i="6"/>
  <c r="H405" i="6"/>
  <c r="I405" i="6" s="1"/>
  <c r="J405" i="6" s="1"/>
  <c r="K405" i="6" s="1"/>
  <c r="L405" i="6" s="1"/>
  <c r="M405" i="6" s="1"/>
  <c r="N405" i="6" s="1"/>
  <c r="O405" i="6" s="1"/>
  <c r="P405" i="6" s="1"/>
  <c r="Q405" i="6" s="1"/>
  <c r="R405" i="6" s="1"/>
  <c r="N403" i="6"/>
  <c r="O403" i="6" s="1"/>
  <c r="P403" i="6" s="1"/>
  <c r="Q403" i="6" s="1"/>
  <c r="R403" i="6" s="1"/>
  <c r="L115" i="6"/>
  <c r="R115" i="6"/>
  <c r="Q115" i="6"/>
  <c r="P115" i="6"/>
  <c r="O115" i="6"/>
  <c r="N115" i="6"/>
  <c r="M115" i="6"/>
  <c r="G529" i="6"/>
  <c r="L77" i="6"/>
  <c r="S77" i="6"/>
  <c r="C16" i="8" s="1"/>
  <c r="L67" i="6"/>
  <c r="S67" i="6"/>
  <c r="C15" i="8" s="1"/>
  <c r="M85" i="7"/>
  <c r="N85" i="7" s="1"/>
  <c r="O85" i="7" s="1"/>
  <c r="P85" i="7" s="1"/>
  <c r="Q85" i="7" s="1"/>
  <c r="T379" i="6"/>
  <c r="S379" i="6"/>
  <c r="R379" i="6"/>
  <c r="Q379" i="6"/>
  <c r="P379" i="6"/>
  <c r="O379" i="6"/>
  <c r="N379" i="6"/>
  <c r="M379" i="6"/>
  <c r="L379" i="6"/>
  <c r="K379" i="6"/>
  <c r="J379" i="6"/>
  <c r="I379" i="6"/>
  <c r="H379" i="6"/>
  <c r="T378" i="6"/>
  <c r="S378" i="6"/>
  <c r="H378" i="6"/>
  <c r="I378" i="6" s="1"/>
  <c r="J378" i="6" s="1"/>
  <c r="K378" i="6" s="1"/>
  <c r="L378" i="6" s="1"/>
  <c r="M378" i="6" s="1"/>
  <c r="N378" i="6" s="1"/>
  <c r="O378" i="6" s="1"/>
  <c r="P378" i="6" s="1"/>
  <c r="Q378" i="6" s="1"/>
  <c r="R378" i="6" s="1"/>
  <c r="N376" i="6"/>
  <c r="O376" i="6" s="1"/>
  <c r="P376" i="6" s="1"/>
  <c r="Q376" i="6" s="1"/>
  <c r="R376" i="6" s="1"/>
  <c r="T205" i="6"/>
  <c r="S205" i="6"/>
  <c r="R205" i="6"/>
  <c r="Q205" i="6"/>
  <c r="P205" i="6"/>
  <c r="O205" i="6"/>
  <c r="N205" i="6"/>
  <c r="M205" i="6"/>
  <c r="L205" i="6"/>
  <c r="K205" i="6"/>
  <c r="J205" i="6"/>
  <c r="I205" i="6"/>
  <c r="H205" i="6"/>
  <c r="T204" i="6"/>
  <c r="S204" i="6"/>
  <c r="H204" i="6"/>
  <c r="I204" i="6" s="1"/>
  <c r="J204" i="6" s="1"/>
  <c r="K204" i="6" s="1"/>
  <c r="L204" i="6" s="1"/>
  <c r="M204" i="6" s="1"/>
  <c r="N204" i="6" s="1"/>
  <c r="O204" i="6" s="1"/>
  <c r="P204" i="6" s="1"/>
  <c r="Q204" i="6" s="1"/>
  <c r="R204" i="6" s="1"/>
  <c r="N202" i="6"/>
  <c r="O202" i="6" s="1"/>
  <c r="P202" i="6" s="1"/>
  <c r="Q202" i="6" s="1"/>
  <c r="R202" i="6" s="1"/>
  <c r="T166" i="6"/>
  <c r="S166" i="6"/>
  <c r="R166" i="6"/>
  <c r="Q166" i="6"/>
  <c r="P166" i="6"/>
  <c r="O166" i="6"/>
  <c r="N166" i="6"/>
  <c r="M166" i="6"/>
  <c r="L166" i="6"/>
  <c r="K166" i="6"/>
  <c r="J166" i="6"/>
  <c r="I166" i="6"/>
  <c r="H166" i="6"/>
  <c r="T165" i="6"/>
  <c r="S165" i="6"/>
  <c r="H165" i="6"/>
  <c r="I165" i="6" s="1"/>
  <c r="J165" i="6" s="1"/>
  <c r="K165" i="6" s="1"/>
  <c r="L165" i="6" s="1"/>
  <c r="M165" i="6" s="1"/>
  <c r="N165" i="6" s="1"/>
  <c r="O165" i="6" s="1"/>
  <c r="P165" i="6" s="1"/>
  <c r="Q165" i="6" s="1"/>
  <c r="R165" i="6" s="1"/>
  <c r="N163" i="6"/>
  <c r="O163" i="6" s="1"/>
  <c r="P163" i="6" s="1"/>
  <c r="Q163" i="6" s="1"/>
  <c r="R163" i="6" s="1"/>
  <c r="T233" i="6"/>
  <c r="S233" i="6"/>
  <c r="R233" i="6"/>
  <c r="Q233" i="6"/>
  <c r="P233" i="6"/>
  <c r="O233" i="6"/>
  <c r="N233" i="6"/>
  <c r="M233" i="6"/>
  <c r="L233" i="6"/>
  <c r="K233" i="6"/>
  <c r="J233" i="6"/>
  <c r="I233" i="6"/>
  <c r="H233" i="6"/>
  <c r="T232" i="6"/>
  <c r="S232" i="6"/>
  <c r="H232" i="6"/>
  <c r="I232" i="6" s="1"/>
  <c r="J232" i="6" s="1"/>
  <c r="K232" i="6" s="1"/>
  <c r="L232" i="6" s="1"/>
  <c r="M232" i="6" s="1"/>
  <c r="N232" i="6" s="1"/>
  <c r="O232" i="6" s="1"/>
  <c r="P232" i="6" s="1"/>
  <c r="Q232" i="6" s="1"/>
  <c r="R232" i="6" s="1"/>
  <c r="N230" i="6"/>
  <c r="O230" i="6" s="1"/>
  <c r="P230" i="6" s="1"/>
  <c r="Q230" i="6" s="1"/>
  <c r="R230" i="6" s="1"/>
  <c r="S49" i="6"/>
  <c r="H41" i="8" s="1"/>
  <c r="G12" i="7"/>
  <c r="G17" i="7"/>
  <c r="K187" i="6"/>
  <c r="K17" i="7" s="1"/>
  <c r="J187" i="6"/>
  <c r="J17" i="7" s="1"/>
  <c r="I187" i="6"/>
  <c r="I17" i="7" s="1"/>
  <c r="H187" i="6"/>
  <c r="H17" i="7" s="1"/>
  <c r="I179" i="6"/>
  <c r="I12" i="7" s="1"/>
  <c r="J179" i="6"/>
  <c r="J12" i="7" s="1"/>
  <c r="K179" i="6"/>
  <c r="K12" i="7" s="1"/>
  <c r="H179" i="6"/>
  <c r="H12" i="7" s="1"/>
  <c r="M21" i="7"/>
  <c r="N21" i="7" s="1"/>
  <c r="O21" i="7" s="1"/>
  <c r="P21" i="7" s="1"/>
  <c r="Q21" i="7" s="1"/>
  <c r="M20" i="7"/>
  <c r="N20" i="7" s="1"/>
  <c r="O20" i="7" s="1"/>
  <c r="P20" i="7" s="1"/>
  <c r="Q20" i="7" s="1"/>
  <c r="M19" i="7"/>
  <c r="N19" i="7" s="1"/>
  <c r="O19" i="7" s="1"/>
  <c r="P19" i="7" s="1"/>
  <c r="Q19" i="7" s="1"/>
  <c r="R23" i="7" a="1"/>
  <c r="R23" i="7" s="1"/>
  <c r="R192" i="6" s="1"/>
  <c r="Q23" i="7" a="1"/>
  <c r="Q23" i="7" s="1"/>
  <c r="Q192" i="6" s="1"/>
  <c r="P23" i="7" a="1"/>
  <c r="P23" i="7" s="1"/>
  <c r="P192" i="6" s="1"/>
  <c r="O23" i="7" a="1"/>
  <c r="O23" i="7" s="1"/>
  <c r="O192" i="6" s="1"/>
  <c r="N23" i="7" a="1"/>
  <c r="N23" i="7" s="1"/>
  <c r="N192" i="6" s="1"/>
  <c r="M23" i="7" a="1"/>
  <c r="M23" i="7" s="1"/>
  <c r="M192" i="6" s="1"/>
  <c r="L23" i="7" a="1"/>
  <c r="L23" i="7" s="1"/>
  <c r="L192" i="6" s="1"/>
  <c r="L191" i="6"/>
  <c r="H195" i="6"/>
  <c r="H175" i="6" s="1"/>
  <c r="I195" i="6"/>
  <c r="J195" i="6"/>
  <c r="J175" i="6" s="1"/>
  <c r="K195" i="6"/>
  <c r="K175" i="6" s="1"/>
  <c r="G195" i="6"/>
  <c r="G183" i="6" s="1"/>
  <c r="H192" i="6"/>
  <c r="H23" i="7" s="1"/>
  <c r="I192" i="6"/>
  <c r="I23" i="7" s="1"/>
  <c r="J192" i="6"/>
  <c r="J23" i="7" s="1"/>
  <c r="K192" i="6"/>
  <c r="K23" i="7" s="1"/>
  <c r="G192" i="6"/>
  <c r="G23" i="7" s="1"/>
  <c r="T103" i="6"/>
  <c r="S103" i="6"/>
  <c r="T39" i="6"/>
  <c r="S39" i="6"/>
  <c r="T7" i="6"/>
  <c r="T423" i="6" s="1"/>
  <c r="T460" i="6" s="1"/>
  <c r="T542" i="6" s="1"/>
  <c r="T578" i="6" s="1"/>
  <c r="S7" i="6"/>
  <c r="S423" i="6" s="1"/>
  <c r="S460" i="6" s="1"/>
  <c r="S542" i="6" s="1"/>
  <c r="S578" i="6" s="1"/>
  <c r="R103" i="6"/>
  <c r="Q103" i="6"/>
  <c r="P103" i="6"/>
  <c r="O103" i="6"/>
  <c r="N103" i="6"/>
  <c r="M103" i="6"/>
  <c r="L103" i="6"/>
  <c r="K103" i="6"/>
  <c r="J103" i="6"/>
  <c r="I103" i="6"/>
  <c r="H103" i="6"/>
  <c r="T102" i="6"/>
  <c r="S102" i="6"/>
  <c r="H102" i="6"/>
  <c r="I102" i="6" s="1"/>
  <c r="J102" i="6" s="1"/>
  <c r="K102" i="6" s="1"/>
  <c r="L102" i="6" s="1"/>
  <c r="M102" i="6" s="1"/>
  <c r="N102" i="6" s="1"/>
  <c r="O102" i="6" s="1"/>
  <c r="P102" i="6" s="1"/>
  <c r="Q102" i="6" s="1"/>
  <c r="R102" i="6" s="1"/>
  <c r="N100" i="6"/>
  <c r="O100" i="6" s="1"/>
  <c r="P100" i="6" s="1"/>
  <c r="Q100" i="6" s="1"/>
  <c r="R100" i="6" s="1"/>
  <c r="R39" i="6"/>
  <c r="Q39" i="6"/>
  <c r="P39" i="6"/>
  <c r="O39" i="6"/>
  <c r="N39" i="6"/>
  <c r="M39" i="6"/>
  <c r="L39" i="6"/>
  <c r="K39" i="6"/>
  <c r="J39" i="6"/>
  <c r="I39" i="6"/>
  <c r="H39" i="6"/>
  <c r="T38" i="6"/>
  <c r="S38" i="6"/>
  <c r="H38" i="6"/>
  <c r="I38" i="6" s="1"/>
  <c r="J38" i="6" s="1"/>
  <c r="K38" i="6" s="1"/>
  <c r="L38" i="6" s="1"/>
  <c r="M38" i="6" s="1"/>
  <c r="N38" i="6" s="1"/>
  <c r="O38" i="6" s="1"/>
  <c r="P38" i="6" s="1"/>
  <c r="Q38" i="6" s="1"/>
  <c r="R38" i="6" s="1"/>
  <c r="N36" i="6"/>
  <c r="O36" i="6" s="1"/>
  <c r="P36" i="6" s="1"/>
  <c r="Q36" i="6" s="1"/>
  <c r="R36" i="6" s="1"/>
  <c r="O416" i="6" l="1"/>
  <c r="T49" i="6"/>
  <c r="T112" i="6" s="1"/>
  <c r="S151" i="6"/>
  <c r="L193" i="6"/>
  <c r="M191" i="6" s="1"/>
  <c r="M193" i="6" s="1"/>
  <c r="N191" i="6" s="1"/>
  <c r="N193" i="6" s="1"/>
  <c r="O191" i="6" s="1"/>
  <c r="I196" i="6"/>
  <c r="J183" i="6"/>
  <c r="J170" i="6" s="1"/>
  <c r="I183" i="6"/>
  <c r="G175" i="6"/>
  <c r="G170" i="6" s="1"/>
  <c r="H183" i="6"/>
  <c r="H184" i="6" s="1"/>
  <c r="K176" i="6"/>
  <c r="K196" i="6"/>
  <c r="J196" i="6"/>
  <c r="H196" i="6"/>
  <c r="I175" i="6"/>
  <c r="K183" i="6"/>
  <c r="K170" i="6" s="1"/>
  <c r="H170" i="6" l="1"/>
  <c r="H171" i="6" s="1"/>
  <c r="I170" i="6"/>
  <c r="P416" i="6"/>
  <c r="T431" i="6"/>
  <c r="L431" i="6" s="1"/>
  <c r="L49" i="6"/>
  <c r="M49" i="6" s="1"/>
  <c r="L195" i="6"/>
  <c r="M195" i="6"/>
  <c r="H176" i="6"/>
  <c r="J184" i="6"/>
  <c r="N195" i="6"/>
  <c r="K184" i="6"/>
  <c r="I184" i="6"/>
  <c r="I176" i="6"/>
  <c r="J176" i="6"/>
  <c r="O193" i="6"/>
  <c r="P191" i="6" s="1"/>
  <c r="R416" i="6" l="1"/>
  <c r="Q416" i="6"/>
  <c r="N49" i="6"/>
  <c r="N112" i="6" s="1"/>
  <c r="M431" i="6"/>
  <c r="M112" i="6"/>
  <c r="M196" i="6"/>
  <c r="L196" i="6"/>
  <c r="I171" i="6"/>
  <c r="N196" i="6"/>
  <c r="K171" i="6"/>
  <c r="J171" i="6"/>
  <c r="O195" i="6"/>
  <c r="P193" i="6"/>
  <c r="Q191" i="6" s="1"/>
  <c r="N431" i="6" l="1"/>
  <c r="O49" i="6"/>
  <c r="O112" i="6" s="1"/>
  <c r="O196" i="6"/>
  <c r="Q193" i="6"/>
  <c r="R191" i="6" s="1"/>
  <c r="R193" i="6" s="1"/>
  <c r="R195" i="6" s="1"/>
  <c r="P195" i="6"/>
  <c r="P49" i="6" l="1"/>
  <c r="P112" i="6" s="1"/>
  <c r="O431" i="6"/>
  <c r="Q195" i="6"/>
  <c r="Q196" i="6" s="1"/>
  <c r="P196" i="6"/>
  <c r="Q49" i="6" l="1"/>
  <c r="Q112" i="6" s="1"/>
  <c r="P431" i="6"/>
  <c r="R196" i="6"/>
  <c r="L76" i="7"/>
  <c r="L74" i="7"/>
  <c r="Q431" i="6" l="1"/>
  <c r="R49" i="6"/>
  <c r="R431" i="6" s="1"/>
  <c r="L256" i="6"/>
  <c r="M17" i="7" a="1"/>
  <c r="M17" i="7" s="1"/>
  <c r="M187" i="6" s="1"/>
  <c r="L12" i="7" a="1"/>
  <c r="L12" i="7" s="1"/>
  <c r="L179" i="6" s="1"/>
  <c r="L178" i="6" s="1"/>
  <c r="M47" i="7"/>
  <c r="N47" i="7" s="1"/>
  <c r="O47" i="7" s="1"/>
  <c r="P47" i="7" s="1"/>
  <c r="Q47" i="7" s="1"/>
  <c r="R47" i="7" s="1"/>
  <c r="M38" i="7"/>
  <c r="N38" i="7" s="1"/>
  <c r="O38" i="7" s="1"/>
  <c r="P38" i="7" s="1"/>
  <c r="Q38" i="7" s="1"/>
  <c r="M37" i="7"/>
  <c r="N37" i="7" s="1"/>
  <c r="O37" i="7" s="1"/>
  <c r="P37" i="7" s="1"/>
  <c r="Q37" i="7" s="1"/>
  <c r="M36" i="7"/>
  <c r="N36" i="7" s="1"/>
  <c r="O36" i="7" s="1"/>
  <c r="P36" i="7" s="1"/>
  <c r="Q36" i="7" s="1"/>
  <c r="H16" i="6"/>
  <c r="H212" i="6" s="1"/>
  <c r="I16" i="6"/>
  <c r="I212" i="6" s="1"/>
  <c r="J16" i="6"/>
  <c r="J212" i="6" s="1"/>
  <c r="K16" i="6"/>
  <c r="K212" i="6" s="1"/>
  <c r="G16" i="6"/>
  <c r="G212" i="6" s="1"/>
  <c r="R35" i="7" a="1"/>
  <c r="R35" i="7" s="1"/>
  <c r="R213" i="6" s="1"/>
  <c r="L35" i="7" a="1"/>
  <c r="L35" i="7" s="1"/>
  <c r="L213" i="6" s="1"/>
  <c r="M33" i="7"/>
  <c r="N33" i="7" s="1"/>
  <c r="O33" i="7" s="1"/>
  <c r="P33" i="7" s="1"/>
  <c r="Q33" i="7" s="1"/>
  <c r="R112" i="6" l="1"/>
  <c r="L175" i="6"/>
  <c r="M35" i="7" a="1"/>
  <c r="M35" i="7" s="1"/>
  <c r="M213" i="6" s="1"/>
  <c r="M31" i="7"/>
  <c r="N31" i="7" s="1"/>
  <c r="O31" i="7" s="1"/>
  <c r="P31" i="7" s="1"/>
  <c r="Q31" i="7" s="1"/>
  <c r="R17" i="7" a="1"/>
  <c r="R17" i="7" s="1"/>
  <c r="R187" i="6" s="1"/>
  <c r="K18" i="7"/>
  <c r="J18" i="7"/>
  <c r="I18" i="7"/>
  <c r="Q17" i="7" a="1"/>
  <c r="Q17" i="7" s="1"/>
  <c r="Q187" i="6" s="1"/>
  <c r="O12" i="7" a="1"/>
  <c r="O12" i="7" s="1"/>
  <c r="O179" i="6" s="1"/>
  <c r="N12" i="7" a="1"/>
  <c r="N12" i="7" s="1"/>
  <c r="N179" i="6" s="1"/>
  <c r="M12" i="7" a="1"/>
  <c r="M12" i="7" s="1"/>
  <c r="M179" i="6" s="1"/>
  <c r="M178" i="6" s="1"/>
  <c r="N178" i="6" l="1"/>
  <c r="M175" i="6"/>
  <c r="M176" i="6" s="1"/>
  <c r="L176" i="6"/>
  <c r="S175" i="6"/>
  <c r="T175" i="6"/>
  <c r="N35" i="7" a="1"/>
  <c r="N35" i="7" s="1"/>
  <c r="N213" i="6" s="1"/>
  <c r="N17" i="7" a="1"/>
  <c r="N17" i="7" s="1"/>
  <c r="N187" i="6" s="1"/>
  <c r="O17" i="7" a="1"/>
  <c r="O17" i="7" s="1"/>
  <c r="O187" i="6" s="1"/>
  <c r="P17" i="7" a="1"/>
  <c r="P17" i="7" s="1"/>
  <c r="P187" i="6" s="1"/>
  <c r="P12" i="7" a="1"/>
  <c r="P12" i="7" s="1"/>
  <c r="P179" i="6" s="1"/>
  <c r="O178" i="6" l="1"/>
  <c r="N175" i="6"/>
  <c r="N176" i="6" s="1"/>
  <c r="O35" i="7" a="1"/>
  <c r="O35" i="7" s="1"/>
  <c r="O213" i="6" s="1"/>
  <c r="Q12" i="7" a="1"/>
  <c r="Q12" i="7" s="1"/>
  <c r="Q179" i="6" s="1"/>
  <c r="P178" i="6" l="1"/>
  <c r="O175" i="6"/>
  <c r="P35" i="7" a="1"/>
  <c r="P35" i="7" s="1"/>
  <c r="P213" i="6" s="1"/>
  <c r="R14" i="7"/>
  <c r="R12" i="7" s="1" a="1"/>
  <c r="R12" i="7" s="1"/>
  <c r="R179" i="6" s="1"/>
  <c r="R7" i="6"/>
  <c r="R423" i="6" s="1"/>
  <c r="R460" i="6" s="1"/>
  <c r="R542" i="6" s="1"/>
  <c r="R578" i="6" s="1"/>
  <c r="Q7" i="6"/>
  <c r="Q423" i="6" s="1"/>
  <c r="Q460" i="6" s="1"/>
  <c r="Q542" i="6" s="1"/>
  <c r="Q578" i="6" s="1"/>
  <c r="P7" i="6"/>
  <c r="P423" i="6" s="1"/>
  <c r="P460" i="6" s="1"/>
  <c r="P542" i="6" s="1"/>
  <c r="P578" i="6" s="1"/>
  <c r="O7" i="6"/>
  <c r="O423" i="6" s="1"/>
  <c r="O460" i="6" s="1"/>
  <c r="O542" i="6" s="1"/>
  <c r="O578" i="6" s="1"/>
  <c r="N7" i="6"/>
  <c r="N423" i="6" s="1"/>
  <c r="N460" i="6" s="1"/>
  <c r="N542" i="6" s="1"/>
  <c r="N578" i="6" s="1"/>
  <c r="M7" i="6"/>
  <c r="M423" i="6" s="1"/>
  <c r="M460" i="6" s="1"/>
  <c r="M542" i="6" s="1"/>
  <c r="M578" i="6" s="1"/>
  <c r="L7" i="6"/>
  <c r="L423" i="6" s="1"/>
  <c r="L460" i="6" s="1"/>
  <c r="L542" i="6" s="1"/>
  <c r="L578" i="6" s="1"/>
  <c r="K7" i="6"/>
  <c r="J7" i="6"/>
  <c r="I7" i="6"/>
  <c r="H7" i="6"/>
  <c r="T6" i="6"/>
  <c r="T422" i="6" s="1"/>
  <c r="T459" i="6" s="1"/>
  <c r="T541" i="6" s="1"/>
  <c r="T577" i="6" s="1"/>
  <c r="S6" i="6"/>
  <c r="S422" i="6" s="1"/>
  <c r="S459" i="6" s="1"/>
  <c r="S541" i="6" s="1"/>
  <c r="S577" i="6" s="1"/>
  <c r="H6" i="6"/>
  <c r="I6" i="6" s="1"/>
  <c r="J6" i="6" s="1"/>
  <c r="K6" i="6" s="1"/>
  <c r="L6" i="6" s="1"/>
  <c r="N4" i="6"/>
  <c r="O4" i="6" s="1"/>
  <c r="P4" i="6" s="1"/>
  <c r="Q4" i="6" s="1"/>
  <c r="R4" i="6" s="1"/>
  <c r="I7" i="7"/>
  <c r="J7" i="7"/>
  <c r="K7" i="7"/>
  <c r="L7" i="7"/>
  <c r="M7" i="7"/>
  <c r="N7" i="7"/>
  <c r="O7" i="7"/>
  <c r="P7" i="7"/>
  <c r="Q7" i="7"/>
  <c r="R7" i="7"/>
  <c r="H7" i="7"/>
  <c r="H6" i="7"/>
  <c r="I6" i="7" s="1"/>
  <c r="J6" i="7" s="1"/>
  <c r="K6" i="7" s="1"/>
  <c r="L6" i="7" s="1"/>
  <c r="M6" i="7" s="1"/>
  <c r="N6" i="7" s="1"/>
  <c r="O6" i="7" s="1"/>
  <c r="P6" i="7" s="1"/>
  <c r="Q6" i="7" s="1"/>
  <c r="R6" i="7" s="1"/>
  <c r="M6" i="6" l="1"/>
  <c r="L422" i="6"/>
  <c r="L459" i="6" s="1"/>
  <c r="L541" i="6" s="1"/>
  <c r="L577" i="6" s="1"/>
  <c r="O176" i="6"/>
  <c r="Q178" i="6"/>
  <c r="P175" i="6"/>
  <c r="Q35" i="7" a="1"/>
  <c r="Q35" i="7" s="1"/>
  <c r="Q213" i="6" s="1"/>
  <c r="E57" i="18"/>
  <c r="D57" i="18"/>
  <c r="E56" i="18"/>
  <c r="D56" i="18"/>
  <c r="E55" i="18"/>
  <c r="D55" i="18"/>
  <c r="E54" i="18"/>
  <c r="D54" i="18"/>
  <c r="C57" i="18"/>
  <c r="C56" i="18"/>
  <c r="C55" i="18"/>
  <c r="C54" i="18"/>
  <c r="D74" i="18"/>
  <c r="E74" i="18"/>
  <c r="D75" i="18"/>
  <c r="E75" i="18"/>
  <c r="D76" i="18"/>
  <c r="E76" i="18"/>
  <c r="D77" i="18"/>
  <c r="E77" i="18"/>
  <c r="C77" i="18"/>
  <c r="F77" i="18" s="1"/>
  <c r="C76" i="18"/>
  <c r="F76" i="18" s="1"/>
  <c r="C75" i="18"/>
  <c r="F75" i="18" s="1"/>
  <c r="G36" i="8" s="1"/>
  <c r="C74" i="18"/>
  <c r="L30" i="7" a="1"/>
  <c r="L30" i="7" s="1"/>
  <c r="R30" i="7" a="1"/>
  <c r="R30" i="7" s="1"/>
  <c r="M32" i="7"/>
  <c r="N32" i="7" s="1"/>
  <c r="O32" i="7" s="1"/>
  <c r="P32" i="7" s="1"/>
  <c r="Q32" i="7" s="1"/>
  <c r="L41" i="7"/>
  <c r="R41" i="7"/>
  <c r="M42" i="7"/>
  <c r="N42" i="7" s="1"/>
  <c r="L43" i="7"/>
  <c r="R43" i="7"/>
  <c r="M45" i="7"/>
  <c r="N45" i="7" s="1"/>
  <c r="O45" i="7" s="1"/>
  <c r="P45" i="7" s="1"/>
  <c r="Q45" i="7" s="1"/>
  <c r="R45" i="7" s="1"/>
  <c r="M51" i="7"/>
  <c r="N51" i="7" s="1"/>
  <c r="O51" i="7" s="1"/>
  <c r="P51" i="7" s="1"/>
  <c r="Q51" i="7" s="1"/>
  <c r="R51" i="7" s="1"/>
  <c r="M55" i="7"/>
  <c r="N55" i="7" s="1"/>
  <c r="M56" i="7"/>
  <c r="N56" i="7" s="1"/>
  <c r="O56" i="7" s="1"/>
  <c r="P56" i="7" s="1"/>
  <c r="Q56" i="7" s="1"/>
  <c r="R56" i="7" s="1"/>
  <c r="M57" i="7"/>
  <c r="N57" i="7" s="1"/>
  <c r="O57" i="7" s="1"/>
  <c r="P57" i="7" s="1"/>
  <c r="Q57" i="7" s="1"/>
  <c r="R57" i="7" s="1"/>
  <c r="M58" i="7"/>
  <c r="N58" i="7" s="1"/>
  <c r="O58" i="7" s="1"/>
  <c r="P58" i="7" s="1"/>
  <c r="Q58" i="7" s="1"/>
  <c r="R58" i="7" s="1"/>
  <c r="L59" i="7"/>
  <c r="M61" i="7"/>
  <c r="N61" i="7" s="1"/>
  <c r="O61" i="7" s="1"/>
  <c r="P61" i="7" s="1"/>
  <c r="Q61" i="7" s="1"/>
  <c r="R61" i="7" s="1"/>
  <c r="M64" i="7"/>
  <c r="N64" i="7" s="1"/>
  <c r="O64" i="7" s="1"/>
  <c r="P64" i="7" s="1"/>
  <c r="Q64" i="7" s="1"/>
  <c r="R64" i="7" s="1"/>
  <c r="M65" i="7"/>
  <c r="N65" i="7" s="1"/>
  <c r="O65" i="7" s="1"/>
  <c r="P65" i="7" s="1"/>
  <c r="Q65" i="7" s="1"/>
  <c r="R65" i="7" s="1"/>
  <c r="M66" i="7"/>
  <c r="N66" i="7" s="1"/>
  <c r="O66" i="7" s="1"/>
  <c r="P66" i="7" s="1"/>
  <c r="Q66" i="7" s="1"/>
  <c r="R66" i="7" s="1"/>
  <c r="F54" i="18" l="1"/>
  <c r="F55" i="18"/>
  <c r="G35" i="8" s="1"/>
  <c r="F56" i="18"/>
  <c r="F74" i="18"/>
  <c r="F57" i="18"/>
  <c r="N6" i="6"/>
  <c r="M422" i="6"/>
  <c r="M459" i="6" s="1"/>
  <c r="M541" i="6" s="1"/>
  <c r="M577" i="6" s="1"/>
  <c r="P176" i="6"/>
  <c r="R178" i="6"/>
  <c r="R175" i="6" s="1"/>
  <c r="Q175" i="6"/>
  <c r="R40" i="7" a="1"/>
  <c r="R40" i="7" s="1"/>
  <c r="L40" i="7" a="1"/>
  <c r="L40" i="7" s="1"/>
  <c r="L17" i="7" a="1"/>
  <c r="L17" i="7" s="1"/>
  <c r="L187" i="6" s="1"/>
  <c r="L186" i="6" s="1"/>
  <c r="N30" i="7" a="1"/>
  <c r="N30" i="7" s="1"/>
  <c r="M30" i="7" a="1"/>
  <c r="M30" i="7" s="1"/>
  <c r="N59" i="7"/>
  <c r="O55" i="7"/>
  <c r="O59" i="7" s="1"/>
  <c r="O42" i="7"/>
  <c r="O43" i="7" s="1"/>
  <c r="N43" i="7"/>
  <c r="N41" i="7"/>
  <c r="M41" i="7"/>
  <c r="M59" i="7"/>
  <c r="M43" i="7"/>
  <c r="O6" i="6" l="1"/>
  <c r="N422" i="6"/>
  <c r="N459" i="6" s="1"/>
  <c r="N541" i="6" s="1"/>
  <c r="N577" i="6" s="1"/>
  <c r="M186" i="6"/>
  <c r="L183" i="6"/>
  <c r="L170" i="6" s="1"/>
  <c r="Q176" i="6"/>
  <c r="R176" i="6"/>
  <c r="N40" i="7" a="1"/>
  <c r="N40" i="7" s="1"/>
  <c r="M40" i="7" a="1"/>
  <c r="M40" i="7" s="1"/>
  <c r="P55" i="7"/>
  <c r="P59" i="7" s="1"/>
  <c r="O41" i="7"/>
  <c r="O40" i="7" s="1" a="1"/>
  <c r="O40" i="7" s="1"/>
  <c r="P42" i="7"/>
  <c r="P41" i="7" s="1"/>
  <c r="P6" i="6" l="1"/>
  <c r="O422" i="6"/>
  <c r="O459" i="6" s="1"/>
  <c r="O541" i="6" s="1"/>
  <c r="O577" i="6" s="1"/>
  <c r="T183" i="6"/>
  <c r="T170" i="6" s="1"/>
  <c r="T10" i="6" s="1"/>
  <c r="L184" i="6"/>
  <c r="S183" i="6"/>
  <c r="N186" i="6"/>
  <c r="M183" i="6"/>
  <c r="Q42" i="7"/>
  <c r="Q55" i="7"/>
  <c r="Q59" i="7" s="1"/>
  <c r="P43" i="7"/>
  <c r="P40" i="7" s="1" a="1"/>
  <c r="P40" i="7" s="1"/>
  <c r="O30" i="7" a="1"/>
  <c r="O30" i="7" s="1"/>
  <c r="S170" i="6" l="1"/>
  <c r="S10" i="6" s="1"/>
  <c r="S382" i="6" s="1"/>
  <c r="Q6" i="6"/>
  <c r="P422" i="6"/>
  <c r="P459" i="6" s="1"/>
  <c r="P541" i="6" s="1"/>
  <c r="P577" i="6" s="1"/>
  <c r="M170" i="6"/>
  <c r="M184" i="6"/>
  <c r="O186" i="6"/>
  <c r="N183" i="6"/>
  <c r="L171" i="6"/>
  <c r="L10" i="6"/>
  <c r="L393" i="6" s="1"/>
  <c r="T393" i="6" s="1"/>
  <c r="T240" i="6"/>
  <c r="T348" i="6" s="1"/>
  <c r="T382" i="6"/>
  <c r="Q43" i="7"/>
  <c r="Q41" i="7"/>
  <c r="R55" i="7"/>
  <c r="R59" i="7" s="1"/>
  <c r="P30" i="7" a="1"/>
  <c r="P30" i="7" s="1"/>
  <c r="L69" i="6" l="1"/>
  <c r="S240" i="6"/>
  <c r="S348" i="6" s="1"/>
  <c r="R6" i="6"/>
  <c r="R422" i="6" s="1"/>
  <c r="R459" i="6" s="1"/>
  <c r="R541" i="6" s="1"/>
  <c r="R577" i="6" s="1"/>
  <c r="Q422" i="6"/>
  <c r="Q459" i="6" s="1"/>
  <c r="Q541" i="6" s="1"/>
  <c r="Q577" i="6" s="1"/>
  <c r="L388" i="6"/>
  <c r="L395" i="6"/>
  <c r="L389" i="6"/>
  <c r="L240" i="6"/>
  <c r="L382" i="6"/>
  <c r="N170" i="6"/>
  <c r="N184" i="6"/>
  <c r="P186" i="6"/>
  <c r="O183" i="6"/>
  <c r="M10" i="6"/>
  <c r="M393" i="6" s="1"/>
  <c r="M69" i="6" s="1"/>
  <c r="M171" i="6"/>
  <c r="Q40" i="7" a="1"/>
  <c r="Q40" i="7" s="1"/>
  <c r="Q30" i="7" a="1"/>
  <c r="Q30" i="7" s="1"/>
  <c r="T388" i="6" l="1"/>
  <c r="T47" i="6" s="1"/>
  <c r="L47" i="6"/>
  <c r="T389" i="6"/>
  <c r="T48" i="6" s="1"/>
  <c r="L48" i="6"/>
  <c r="L66" i="6"/>
  <c r="T395" i="6"/>
  <c r="T66" i="6" s="1"/>
  <c r="M382" i="6"/>
  <c r="M240" i="6"/>
  <c r="O184" i="6"/>
  <c r="O170" i="6"/>
  <c r="N10" i="6"/>
  <c r="N393" i="6" s="1"/>
  <c r="N69" i="6" s="1"/>
  <c r="N171" i="6"/>
  <c r="Q186" i="6"/>
  <c r="P183" i="6"/>
  <c r="AQ47" i="19" a="1"/>
  <c r="AQ47" i="19" s="1"/>
  <c r="AP47" i="19" a="1"/>
  <c r="AP47" i="19" s="1"/>
  <c r="AO47" i="19" a="1"/>
  <c r="AO47" i="19" s="1"/>
  <c r="AN47" i="19" a="1"/>
  <c r="AN47" i="19" s="1"/>
  <c r="AR47" i="19" s="1"/>
  <c r="AM47" i="19" a="1"/>
  <c r="AM47" i="19" s="1"/>
  <c r="AJ47" i="19" a="1"/>
  <c r="AJ47" i="19" s="1"/>
  <c r="AI47" i="19" a="1"/>
  <c r="AI47" i="19" s="1"/>
  <c r="AH47" i="19" a="1"/>
  <c r="AH47" i="19" s="1"/>
  <c r="AG47" i="19" a="1"/>
  <c r="AG47" i="19" s="1"/>
  <c r="AF47" i="19" a="1"/>
  <c r="AF47" i="19" s="1"/>
  <c r="BR20" i="19" a="1"/>
  <c r="BR20" i="19" s="1"/>
  <c r="BQ20" i="19" a="1"/>
  <c r="BQ20" i="19" s="1"/>
  <c r="BP20" i="19" a="1"/>
  <c r="BP20" i="19" s="1"/>
  <c r="BM20" i="19" a="1"/>
  <c r="BM20" i="19" s="1"/>
  <c r="BL20" i="19" a="1"/>
  <c r="BL20" i="19"/>
  <c r="BK20" i="19" a="1"/>
  <c r="BK20" i="19" s="1"/>
  <c r="BN20" i="19" s="1"/>
  <c r="BH20" i="19" a="1"/>
  <c r="BH20" i="19" s="1"/>
  <c r="BG20" i="19" a="1"/>
  <c r="BG20" i="19"/>
  <c r="BF20" i="19" a="1"/>
  <c r="BF20" i="19"/>
  <c r="BC20" i="19" a="1"/>
  <c r="BC20" i="19" s="1"/>
  <c r="BB20" i="19" a="1"/>
  <c r="BB20" i="19" s="1"/>
  <c r="BA20" i="19" a="1"/>
  <c r="BA20" i="19"/>
  <c r="BD20" i="19" s="1"/>
  <c r="AX20" i="19" a="1"/>
  <c r="AX20" i="19"/>
  <c r="AW20" i="19" a="1"/>
  <c r="AW20" i="19"/>
  <c r="AV20" i="19" a="1"/>
  <c r="AV20" i="19" s="1"/>
  <c r="AT20" i="19" a="1"/>
  <c r="AT20" i="19"/>
  <c r="AQ20" i="19" a="1"/>
  <c r="AQ20" i="19"/>
  <c r="AP20" i="19" a="1"/>
  <c r="AP20" i="19" s="1"/>
  <c r="AO20" i="19" a="1"/>
  <c r="AO20" i="19" s="1"/>
  <c r="AN20" i="19" a="1"/>
  <c r="AN20" i="19" s="1"/>
  <c r="AM20" i="19" a="1"/>
  <c r="AM20" i="19" s="1"/>
  <c r="AJ20" i="19" a="1"/>
  <c r="AJ20" i="19"/>
  <c r="AI20" i="19" a="1"/>
  <c r="AI20" i="19" s="1"/>
  <c r="AH20" i="19" a="1"/>
  <c r="AH20" i="19" s="1"/>
  <c r="AG20" i="19" a="1"/>
  <c r="AG20" i="19"/>
  <c r="AF20" i="19" a="1"/>
  <c r="AF20" i="19" s="1"/>
  <c r="AB20" i="19" a="1"/>
  <c r="AB20" i="19" s="1"/>
  <c r="AA20" i="19" a="1"/>
  <c r="AA20" i="19"/>
  <c r="X20" i="19" a="1"/>
  <c r="X20" i="19" s="1"/>
  <c r="W20" i="19" a="1"/>
  <c r="W20" i="19" s="1"/>
  <c r="T20" i="19" a="1"/>
  <c r="T20" i="19" s="1"/>
  <c r="S20" i="19" a="1"/>
  <c r="S20" i="19" s="1"/>
  <c r="U20" i="19" s="1"/>
  <c r="P20" i="19" a="1"/>
  <c r="P20" i="19"/>
  <c r="O20" i="19" a="1"/>
  <c r="O20" i="19"/>
  <c r="K20" i="19" a="1"/>
  <c r="K20" i="19" s="1"/>
  <c r="J20" i="19" a="1"/>
  <c r="J20" i="19" s="1"/>
  <c r="J46" i="19"/>
  <c r="K46" i="19"/>
  <c r="O46" i="19"/>
  <c r="P46" i="19"/>
  <c r="S46" i="19"/>
  <c r="T46" i="19"/>
  <c r="W46" i="19"/>
  <c r="X46" i="19"/>
  <c r="AF46" i="19"/>
  <c r="AG46" i="19"/>
  <c r="AH46" i="19"/>
  <c r="AI46" i="19"/>
  <c r="AJ46" i="19"/>
  <c r="AM46" i="19"/>
  <c r="AN46" i="19"/>
  <c r="AO46" i="19"/>
  <c r="AP46" i="19"/>
  <c r="AQ46" i="19"/>
  <c r="J47" i="19"/>
  <c r="K47" i="19"/>
  <c r="O47" i="19"/>
  <c r="P47" i="19"/>
  <c r="S47" i="19"/>
  <c r="T47" i="19"/>
  <c r="U47" i="19" s="1"/>
  <c r="W47" i="19"/>
  <c r="X47" i="19"/>
  <c r="AT43" i="19"/>
  <c r="AT41" i="19"/>
  <c r="AT39" i="19"/>
  <c r="AT46" i="19" s="1"/>
  <c r="AT36" i="19"/>
  <c r="AT23" i="19"/>
  <c r="J19" i="19"/>
  <c r="K19" i="19"/>
  <c r="O19" i="19"/>
  <c r="P19" i="19"/>
  <c r="S19" i="19"/>
  <c r="T19" i="19"/>
  <c r="W19" i="19"/>
  <c r="X19" i="19"/>
  <c r="AA19" i="19"/>
  <c r="AB19" i="19"/>
  <c r="AF19" i="19"/>
  <c r="AG19" i="19"/>
  <c r="AH19" i="19"/>
  <c r="AI19" i="19"/>
  <c r="AJ19" i="19"/>
  <c r="AM19" i="19"/>
  <c r="AN19" i="19"/>
  <c r="AO19" i="19"/>
  <c r="AP19" i="19"/>
  <c r="AQ19" i="19"/>
  <c r="AT19" i="19"/>
  <c r="AV19" i="19"/>
  <c r="AW19" i="19"/>
  <c r="AX19" i="19"/>
  <c r="BA19" i="19"/>
  <c r="BB19" i="19"/>
  <c r="BC19" i="19"/>
  <c r="BD19" i="19"/>
  <c r="BF19" i="19"/>
  <c r="BI19" i="19" s="1"/>
  <c r="BG19" i="19"/>
  <c r="BH19" i="19"/>
  <c r="BK19" i="19"/>
  <c r="BL19" i="19"/>
  <c r="BM19" i="19"/>
  <c r="BN19" i="19"/>
  <c r="BP19" i="19"/>
  <c r="BS19" i="19" s="1"/>
  <c r="BQ19" i="19"/>
  <c r="BR19" i="19"/>
  <c r="L274" i="6"/>
  <c r="R94" i="7"/>
  <c r="R96" i="7"/>
  <c r="L96" i="7"/>
  <c r="L94" i="7"/>
  <c r="M95" i="7"/>
  <c r="M80" i="7"/>
  <c r="N80" i="7" s="1"/>
  <c r="O80" i="7" s="1"/>
  <c r="P80" i="7" s="1"/>
  <c r="Q80" i="7" s="1"/>
  <c r="H37" i="8"/>
  <c r="D33" i="18"/>
  <c r="E33" i="18"/>
  <c r="F33" i="18"/>
  <c r="G33" i="18"/>
  <c r="H33" i="18"/>
  <c r="I33" i="18"/>
  <c r="J33" i="18"/>
  <c r="D34" i="18"/>
  <c r="E34" i="18"/>
  <c r="F34" i="18"/>
  <c r="G34" i="18"/>
  <c r="H34" i="18"/>
  <c r="I34" i="18"/>
  <c r="J34" i="18"/>
  <c r="D35" i="18"/>
  <c r="E35" i="18"/>
  <c r="F35" i="18"/>
  <c r="G35" i="18"/>
  <c r="H35" i="18"/>
  <c r="I35" i="18"/>
  <c r="J35" i="18"/>
  <c r="D36" i="18"/>
  <c r="E36" i="18"/>
  <c r="F36" i="18"/>
  <c r="G36" i="18"/>
  <c r="H36" i="18"/>
  <c r="I36" i="18"/>
  <c r="J36" i="18"/>
  <c r="C36" i="18"/>
  <c r="C35" i="18"/>
  <c r="C34" i="18"/>
  <c r="C33" i="18"/>
  <c r="R11" i="18"/>
  <c r="S11" i="18"/>
  <c r="R12" i="18"/>
  <c r="S12" i="18"/>
  <c r="R13" i="18"/>
  <c r="S13" i="18"/>
  <c r="R14" i="18"/>
  <c r="S14" i="18"/>
  <c r="Q12" i="18"/>
  <c r="Q13" i="18"/>
  <c r="Q14" i="18"/>
  <c r="Q11" i="18"/>
  <c r="R30" i="18"/>
  <c r="Q30" i="18"/>
  <c r="P30" i="18"/>
  <c r="N30" i="18"/>
  <c r="M30" i="18"/>
  <c r="L30" i="18"/>
  <c r="R32" i="18"/>
  <c r="Q32" i="18"/>
  <c r="P32" i="18"/>
  <c r="R28" i="18"/>
  <c r="Q28" i="18"/>
  <c r="P28" i="18"/>
  <c r="N28" i="18"/>
  <c r="M28" i="18"/>
  <c r="L28" i="18"/>
  <c r="Q26" i="18"/>
  <c r="R26" i="18"/>
  <c r="P26" i="18"/>
  <c r="M26" i="18"/>
  <c r="N26" i="18"/>
  <c r="L26" i="18"/>
  <c r="K629" i="6"/>
  <c r="K630" i="6" s="1"/>
  <c r="K631" i="6" s="1"/>
  <c r="K632" i="6" s="1"/>
  <c r="K633" i="6" s="1"/>
  <c r="K634" i="6" s="1"/>
  <c r="M618" i="6"/>
  <c r="N618" i="6" s="1"/>
  <c r="O618" i="6" s="1"/>
  <c r="P618" i="6" s="1"/>
  <c r="Q618" i="6" s="1"/>
  <c r="R618" i="6" s="1"/>
  <c r="P184" i="6" l="1"/>
  <c r="P170" i="6"/>
  <c r="R186" i="6"/>
  <c r="R183" i="6" s="1"/>
  <c r="Q183" i="6"/>
  <c r="N240" i="6"/>
  <c r="N382" i="6"/>
  <c r="O171" i="6"/>
  <c r="O10" i="6"/>
  <c r="O393" i="6" s="1"/>
  <c r="O69" i="6" s="1"/>
  <c r="Q46" i="19"/>
  <c r="AR46" i="19"/>
  <c r="U46" i="19"/>
  <c r="Q19" i="19"/>
  <c r="AC19" i="19"/>
  <c r="AK46" i="19"/>
  <c r="AY20" i="19"/>
  <c r="AR19" i="19"/>
  <c r="AT47" i="19" a="1"/>
  <c r="AT47" i="19" s="1"/>
  <c r="BS20" i="19"/>
  <c r="AY19" i="19"/>
  <c r="AK47" i="19"/>
  <c r="AK19" i="19"/>
  <c r="BI20" i="19"/>
  <c r="AC20" i="19"/>
  <c r="AR20" i="19"/>
  <c r="Q20" i="19"/>
  <c r="L93" i="7" a="1"/>
  <c r="L93" i="7" s="1"/>
  <c r="R93" i="7" a="1"/>
  <c r="R93" i="7" s="1"/>
  <c r="G39" i="18"/>
  <c r="F39" i="18"/>
  <c r="Q33" i="18"/>
  <c r="P35" i="18"/>
  <c r="F40" i="18"/>
  <c r="W11" i="18"/>
  <c r="M34" i="18"/>
  <c r="F42" i="18"/>
  <c r="G41" i="18"/>
  <c r="R33" i="18"/>
  <c r="X13" i="18"/>
  <c r="R34" i="18"/>
  <c r="G42" i="18"/>
  <c r="V12" i="18"/>
  <c r="X14" i="18"/>
  <c r="X11" i="18"/>
  <c r="Q35" i="18"/>
  <c r="G40" i="18"/>
  <c r="R35" i="18"/>
  <c r="L36" i="18"/>
  <c r="F41" i="18"/>
  <c r="N36" i="18"/>
  <c r="P34" i="18"/>
  <c r="Q34" i="18"/>
  <c r="P33" i="18"/>
  <c r="L33" i="18"/>
  <c r="M36" i="18"/>
  <c r="N35" i="18"/>
  <c r="V11" i="18"/>
  <c r="M35" i="18"/>
  <c r="V14" i="18"/>
  <c r="R36" i="18"/>
  <c r="M33" i="18"/>
  <c r="W14" i="18"/>
  <c r="V13" i="18"/>
  <c r="P36" i="18"/>
  <c r="W13" i="18"/>
  <c r="N33" i="18"/>
  <c r="X12" i="18"/>
  <c r="N34" i="18"/>
  <c r="Q36" i="18"/>
  <c r="W12" i="18"/>
  <c r="L34" i="18"/>
  <c r="L35" i="18"/>
  <c r="M94" i="7"/>
  <c r="N95" i="7"/>
  <c r="N94" i="7" s="1"/>
  <c r="M96" i="7"/>
  <c r="AK20" i="19"/>
  <c r="N596" i="6"/>
  <c r="O596" i="6" s="1"/>
  <c r="P596" i="6" s="1"/>
  <c r="Q596" i="6" s="1"/>
  <c r="R596" i="6" s="1"/>
  <c r="O240" i="6" l="1"/>
  <c r="O382" i="6"/>
  <c r="Q184" i="6"/>
  <c r="Q170" i="6"/>
  <c r="P10" i="6"/>
  <c r="P393" i="6" s="1"/>
  <c r="P69" i="6" s="1"/>
  <c r="P171" i="6"/>
  <c r="R184" i="6"/>
  <c r="R170" i="6"/>
  <c r="M93" i="7" a="1"/>
  <c r="M93" i="7" s="1"/>
  <c r="S33" i="18"/>
  <c r="Y12" i="18"/>
  <c r="AB12" i="18" s="1"/>
  <c r="S34" i="18"/>
  <c r="S35" i="18"/>
  <c r="Y11" i="18"/>
  <c r="O36" i="18"/>
  <c r="Y13" i="18"/>
  <c r="S36" i="18"/>
  <c r="Y14" i="18"/>
  <c r="O35" i="18"/>
  <c r="O33" i="18"/>
  <c r="O34" i="18"/>
  <c r="N96" i="7"/>
  <c r="N93" i="7" s="1" a="1"/>
  <c r="N93" i="7" s="1"/>
  <c r="O95" i="7"/>
  <c r="E48" i="8"/>
  <c r="R171" i="6" l="1"/>
  <c r="R10" i="6"/>
  <c r="R393" i="6" s="1"/>
  <c r="R69" i="6" s="1"/>
  <c r="Q171" i="6"/>
  <c r="Q10" i="6"/>
  <c r="Q393" i="6" s="1"/>
  <c r="Q69" i="6" s="1"/>
  <c r="P240" i="6"/>
  <c r="P382" i="6"/>
  <c r="O96" i="7"/>
  <c r="P95" i="7"/>
  <c r="O94" i="7"/>
  <c r="O93" i="7" s="1" a="1"/>
  <c r="O93" i="7" s="1"/>
  <c r="T480" i="6"/>
  <c r="L480" i="6" s="1"/>
  <c r="T465" i="6"/>
  <c r="L465" i="6" s="1"/>
  <c r="R389" i="6" l="1"/>
  <c r="R48" i="6" s="1"/>
  <c r="Q382" i="6"/>
  <c r="Q240" i="6"/>
  <c r="R240" i="6"/>
  <c r="R382" i="6"/>
  <c r="P96" i="7"/>
  <c r="Q95" i="7"/>
  <c r="P94" i="7"/>
  <c r="R481" i="6"/>
  <c r="Q481" i="6"/>
  <c r="P481" i="6"/>
  <c r="O481" i="6"/>
  <c r="N481" i="6"/>
  <c r="M481" i="6"/>
  <c r="T481" i="6"/>
  <c r="L481" i="6" s="1"/>
  <c r="R466" i="6"/>
  <c r="Q466" i="6"/>
  <c r="P466" i="6"/>
  <c r="O466" i="6"/>
  <c r="N466" i="6"/>
  <c r="M466" i="6"/>
  <c r="T466" i="6"/>
  <c r="L466" i="6" s="1"/>
  <c r="T435" i="6"/>
  <c r="M615" i="6"/>
  <c r="N615" i="6"/>
  <c r="O615" i="6"/>
  <c r="P615" i="6"/>
  <c r="Q615" i="6"/>
  <c r="R615" i="6"/>
  <c r="L615" i="6"/>
  <c r="L619" i="6" s="1"/>
  <c r="T445" i="6" l="1"/>
  <c r="L445" i="6" s="1"/>
  <c r="L435" i="6"/>
  <c r="P93" i="7" a="1"/>
  <c r="P93" i="7" s="1"/>
  <c r="Q96" i="7"/>
  <c r="Q94" i="7"/>
  <c r="P623" i="6"/>
  <c r="P620" i="6"/>
  <c r="P619" i="6"/>
  <c r="P624" i="6"/>
  <c r="P625" i="6"/>
  <c r="P622" i="6"/>
  <c r="O623" i="6"/>
  <c r="O619" i="6"/>
  <c r="O624" i="6"/>
  <c r="O620" i="6"/>
  <c r="O621" i="6"/>
  <c r="O625" i="6"/>
  <c r="N619" i="6"/>
  <c r="N621" i="6"/>
  <c r="N625" i="6"/>
  <c r="N624" i="6"/>
  <c r="N622" i="6"/>
  <c r="N620" i="6"/>
  <c r="M619" i="6"/>
  <c r="M623" i="6"/>
  <c r="M620" i="6"/>
  <c r="M621" i="6"/>
  <c r="M625" i="6"/>
  <c r="M622" i="6"/>
  <c r="L620" i="6"/>
  <c r="L622" i="6"/>
  <c r="L621" i="6"/>
  <c r="L623" i="6"/>
  <c r="R622" i="6"/>
  <c r="R623" i="6"/>
  <c r="R620" i="6"/>
  <c r="R624" i="6"/>
  <c r="R621" i="6"/>
  <c r="R625" i="6"/>
  <c r="Q623" i="6"/>
  <c r="Q619" i="6"/>
  <c r="Q624" i="6"/>
  <c r="Q621" i="6"/>
  <c r="Q625" i="6"/>
  <c r="Q622" i="6"/>
  <c r="R529" i="6"/>
  <c r="Q529" i="6"/>
  <c r="P529" i="6"/>
  <c r="O529" i="6"/>
  <c r="N529" i="6"/>
  <c r="M529" i="6"/>
  <c r="T529" i="6"/>
  <c r="L529" i="6" s="1"/>
  <c r="M515" i="6"/>
  <c r="N515" i="6"/>
  <c r="O515" i="6"/>
  <c r="P515" i="6"/>
  <c r="Q515" i="6"/>
  <c r="R515" i="6"/>
  <c r="T515" i="6"/>
  <c r="L515" i="6" s="1"/>
  <c r="M500" i="6"/>
  <c r="N500" i="6"/>
  <c r="O500" i="6"/>
  <c r="P500" i="6"/>
  <c r="Q500" i="6"/>
  <c r="R500" i="6"/>
  <c r="T500" i="6"/>
  <c r="L500" i="6" s="1"/>
  <c r="M449" i="6"/>
  <c r="N449" i="6"/>
  <c r="O449" i="6"/>
  <c r="P449" i="6"/>
  <c r="Q449" i="6"/>
  <c r="R449" i="6"/>
  <c r="T449" i="6"/>
  <c r="L449" i="6" s="1"/>
  <c r="Q93" i="7" l="1" a="1"/>
  <c r="Q93" i="7" s="1"/>
  <c r="J4" i="15"/>
  <c r="G435" i="6" l="1"/>
  <c r="S439" i="6" s="1"/>
  <c r="H40" i="8"/>
  <c r="C107" i="7"/>
  <c r="C103" i="7"/>
  <c r="R99" i="7"/>
  <c r="R441" i="6" s="1"/>
  <c r="K11" i="15"/>
  <c r="L99" i="7" l="1"/>
  <c r="T441" i="6" s="1"/>
  <c r="L441" i="6" s="1"/>
  <c r="M99" i="7"/>
  <c r="M441" i="6" s="1"/>
  <c r="N99" i="7" l="1"/>
  <c r="N441" i="6" s="1"/>
  <c r="O99" i="7" l="1"/>
  <c r="O441" i="6" s="1"/>
  <c r="P99" i="7" l="1"/>
  <c r="P441" i="6" s="1"/>
  <c r="Q99" i="7" l="1"/>
  <c r="Q441" i="6" s="1"/>
  <c r="R81" i="7" l="1"/>
  <c r="L81" i="7"/>
  <c r="R79" i="7"/>
  <c r="R78" i="7" s="1" a="1"/>
  <c r="R78" i="7" s="1"/>
  <c r="L79" i="7"/>
  <c r="R76" i="7"/>
  <c r="R74" i="7"/>
  <c r="M75" i="7"/>
  <c r="M87" i="7"/>
  <c r="M83" i="7"/>
  <c r="N79" i="7"/>
  <c r="L78" i="7" a="1"/>
  <c r="L78" i="7" s="1"/>
  <c r="P69" i="7"/>
  <c r="Q69" i="7" s="1"/>
  <c r="R69" i="7" s="1"/>
  <c r="M372" i="6"/>
  <c r="N372" i="6"/>
  <c r="O372" i="6"/>
  <c r="L372" i="6"/>
  <c r="L364" i="6"/>
  <c r="R364" i="6"/>
  <c r="L67" i="7"/>
  <c r="J361" i="6"/>
  <c r="K361" i="6"/>
  <c r="I361" i="6"/>
  <c r="L331" i="6"/>
  <c r="C336" i="6" s="1"/>
  <c r="L312" i="6"/>
  <c r="C317" i="6" s="1"/>
  <c r="L293" i="6"/>
  <c r="D329" i="6"/>
  <c r="D336" i="6" s="1"/>
  <c r="D310" i="6"/>
  <c r="D317" i="6" s="1"/>
  <c r="D291" i="6"/>
  <c r="B337" i="6"/>
  <c r="B338" i="6" s="1"/>
  <c r="B318" i="6"/>
  <c r="J254" i="6"/>
  <c r="K254" i="6"/>
  <c r="I254" i="6"/>
  <c r="N83" i="7" l="1"/>
  <c r="M388" i="6"/>
  <c r="M47" i="6" s="1"/>
  <c r="N87" i="7"/>
  <c r="M395" i="6"/>
  <c r="M66" i="6" s="1"/>
  <c r="M389" i="6"/>
  <c r="L73" i="7" a="1"/>
  <c r="L73" i="7" s="1"/>
  <c r="L387" i="6" s="1"/>
  <c r="R73" i="7" a="1"/>
  <c r="R73" i="7" s="1"/>
  <c r="R387" i="6" s="1"/>
  <c r="N353" i="6"/>
  <c r="M353" i="6"/>
  <c r="L359" i="6"/>
  <c r="M359" i="6" s="1"/>
  <c r="N359" i="6" s="1"/>
  <c r="O359" i="6" s="1"/>
  <c r="L353" i="6"/>
  <c r="O353" i="6"/>
  <c r="N81" i="7"/>
  <c r="N78" i="7" s="1" a="1"/>
  <c r="N78" i="7" s="1"/>
  <c r="M81" i="7"/>
  <c r="M79" i="7"/>
  <c r="N75" i="7"/>
  <c r="O75" i="7" s="1"/>
  <c r="P75" i="7" s="1"/>
  <c r="Q75" i="7" s="1"/>
  <c r="Q74" i="7" s="1"/>
  <c r="M74" i="7"/>
  <c r="M76" i="7"/>
  <c r="L358" i="6"/>
  <c r="M358" i="6" s="1"/>
  <c r="L360" i="6"/>
  <c r="R372" i="6"/>
  <c r="Q372" i="6"/>
  <c r="P372" i="6"/>
  <c r="P364" i="6"/>
  <c r="M364" i="6"/>
  <c r="Q364" i="6"/>
  <c r="O364" i="6"/>
  <c r="N364" i="6"/>
  <c r="M67" i="7"/>
  <c r="K317" i="6"/>
  <c r="R317" i="6" s="1"/>
  <c r="K336" i="6"/>
  <c r="D318" i="6"/>
  <c r="D338" i="6"/>
  <c r="D337" i="6"/>
  <c r="D298" i="6"/>
  <c r="B339" i="6"/>
  <c r="D339" i="6" s="1"/>
  <c r="B319" i="6"/>
  <c r="D319" i="6" s="1"/>
  <c r="T353" i="6" l="1"/>
  <c r="S353" i="6"/>
  <c r="L46" i="6"/>
  <c r="T387" i="6"/>
  <c r="L390" i="6"/>
  <c r="O87" i="7"/>
  <c r="N395" i="6"/>
  <c r="N66" i="6" s="1"/>
  <c r="O83" i="7"/>
  <c r="N388" i="6"/>
  <c r="N47" i="6" s="1"/>
  <c r="R46" i="6"/>
  <c r="M48" i="6"/>
  <c r="N389" i="6"/>
  <c r="M336" i="6"/>
  <c r="N336" i="6"/>
  <c r="O336" i="6"/>
  <c r="P336" i="6"/>
  <c r="M78" i="7" a="1"/>
  <c r="M78" i="7" s="1"/>
  <c r="M73" i="7" a="1"/>
  <c r="M73" i="7" s="1"/>
  <c r="M387" i="6" s="1"/>
  <c r="M46" i="6" s="1"/>
  <c r="P353" i="6"/>
  <c r="Q353" i="6"/>
  <c r="R353" i="6"/>
  <c r="N76" i="7"/>
  <c r="N74" i="7"/>
  <c r="O81" i="7"/>
  <c r="O79" i="7"/>
  <c r="O76" i="7"/>
  <c r="O74" i="7"/>
  <c r="P76" i="7"/>
  <c r="Q76" i="7"/>
  <c r="P74" i="7"/>
  <c r="L361" i="6"/>
  <c r="M360" i="6"/>
  <c r="N360" i="6" s="1"/>
  <c r="O360" i="6" s="1"/>
  <c r="P360" i="6" s="1"/>
  <c r="Q360" i="6" s="1"/>
  <c r="R360" i="6" s="1"/>
  <c r="P359" i="6"/>
  <c r="Q359" i="6" s="1"/>
  <c r="R359" i="6" s="1"/>
  <c r="N358" i="6"/>
  <c r="N67" i="7"/>
  <c r="M317" i="6"/>
  <c r="P317" i="6"/>
  <c r="L317" i="6"/>
  <c r="O317" i="6"/>
  <c r="L336" i="6"/>
  <c r="Q317" i="6"/>
  <c r="N317" i="6"/>
  <c r="B340" i="6"/>
  <c r="D340" i="6" s="1"/>
  <c r="B320" i="6"/>
  <c r="D320" i="6" s="1"/>
  <c r="M116" i="6" l="1"/>
  <c r="P83" i="7"/>
  <c r="O388" i="6"/>
  <c r="O47" i="6" s="1"/>
  <c r="P87" i="7"/>
  <c r="O395" i="6"/>
  <c r="O66" i="6" s="1"/>
  <c r="M119" i="6"/>
  <c r="M390" i="6"/>
  <c r="T390" i="6"/>
  <c r="T46" i="6"/>
  <c r="N48" i="6"/>
  <c r="O389" i="6"/>
  <c r="N73" i="7" a="1"/>
  <c r="N73" i="7" s="1"/>
  <c r="N387" i="6" s="1"/>
  <c r="N46" i="6" s="1"/>
  <c r="O78" i="7" a="1"/>
  <c r="O78" i="7" s="1"/>
  <c r="P79" i="7"/>
  <c r="P81" i="7"/>
  <c r="O73" i="7" a="1"/>
  <c r="O73" i="7" s="1"/>
  <c r="O387" i="6" s="1"/>
  <c r="O46" i="6" s="1"/>
  <c r="M361" i="6"/>
  <c r="O358" i="6"/>
  <c r="N361" i="6"/>
  <c r="O67" i="7"/>
  <c r="B341" i="6"/>
  <c r="D341" i="6" s="1"/>
  <c r="B321" i="6"/>
  <c r="D321" i="6" s="1"/>
  <c r="O116" i="6" l="1"/>
  <c r="N116" i="6"/>
  <c r="N390" i="6"/>
  <c r="Q83" i="7"/>
  <c r="P388" i="6"/>
  <c r="P47" i="6" s="1"/>
  <c r="Q87" i="7"/>
  <c r="P395" i="6"/>
  <c r="P66" i="6" s="1"/>
  <c r="N119" i="6"/>
  <c r="O390" i="6"/>
  <c r="O48" i="6"/>
  <c r="O119" i="6" s="1"/>
  <c r="Q389" i="6"/>
  <c r="P389" i="6"/>
  <c r="P78" i="7" a="1"/>
  <c r="P78" i="7" s="1"/>
  <c r="Q81" i="7"/>
  <c r="Q79" i="7"/>
  <c r="Q78" i="7" s="1" a="1"/>
  <c r="Q78" i="7" s="1"/>
  <c r="P73" i="7" a="1"/>
  <c r="P73" i="7" s="1"/>
  <c r="P387" i="6" s="1"/>
  <c r="P46" i="6" s="1"/>
  <c r="P358" i="6"/>
  <c r="O361" i="6"/>
  <c r="P67" i="7"/>
  <c r="B342" i="6"/>
  <c r="D342" i="6" s="1"/>
  <c r="B322" i="6"/>
  <c r="D322" i="6" s="1"/>
  <c r="P116" i="6" l="1"/>
  <c r="R83" i="7"/>
  <c r="R388" i="6" s="1"/>
  <c r="Q388" i="6"/>
  <c r="Q47" i="6" s="1"/>
  <c r="R87" i="7"/>
  <c r="R395" i="6" s="1"/>
  <c r="R66" i="6" s="1"/>
  <c r="Q395" i="6"/>
  <c r="Q66" i="6" s="1"/>
  <c r="P390" i="6"/>
  <c r="P48" i="6"/>
  <c r="P119" i="6" s="1"/>
  <c r="Q48" i="6"/>
  <c r="Q73" i="7" a="1"/>
  <c r="Q73" i="7" s="1"/>
  <c r="Q387" i="6" s="1"/>
  <c r="Q46" i="6" s="1"/>
  <c r="P361" i="6"/>
  <c r="Q358" i="6"/>
  <c r="R67" i="7"/>
  <c r="Q67" i="7"/>
  <c r="B343" i="6"/>
  <c r="D343" i="6" s="1"/>
  <c r="B323" i="6"/>
  <c r="D323" i="6" s="1"/>
  <c r="Q116" i="6" l="1"/>
  <c r="R119" i="6"/>
  <c r="Q390" i="6"/>
  <c r="Q119" i="6"/>
  <c r="R47" i="6"/>
  <c r="R116" i="6" s="1"/>
  <c r="R390" i="6"/>
  <c r="R358" i="6"/>
  <c r="R361" i="6" s="1"/>
  <c r="Q361" i="6"/>
  <c r="B324" i="6"/>
  <c r="D324" i="6" s="1"/>
  <c r="B299" i="6" l="1"/>
  <c r="D299" i="6" s="1"/>
  <c r="C298" i="6"/>
  <c r="K298" i="6" s="1"/>
  <c r="C279" i="6"/>
  <c r="B280" i="6"/>
  <c r="B281" i="6" s="1"/>
  <c r="D272" i="6"/>
  <c r="K264" i="6"/>
  <c r="K265" i="6"/>
  <c r="K266" i="6"/>
  <c r="K267" i="6"/>
  <c r="J265" i="6"/>
  <c r="J266" i="6"/>
  <c r="J267" i="6"/>
  <c r="J264" i="6"/>
  <c r="L261" i="6"/>
  <c r="L260" i="6" s="1"/>
  <c r="M261" i="6"/>
  <c r="M260" i="6" s="1"/>
  <c r="M126" i="6" s="1"/>
  <c r="K279" i="6" l="1"/>
  <c r="S260" i="6"/>
  <c r="T260" i="6"/>
  <c r="L264" i="6"/>
  <c r="L126" i="6"/>
  <c r="M298" i="6"/>
  <c r="R298" i="6"/>
  <c r="N298" i="6"/>
  <c r="L298" i="6"/>
  <c r="O298" i="6"/>
  <c r="P298" i="6"/>
  <c r="Q298" i="6"/>
  <c r="D279" i="6"/>
  <c r="B282" i="6"/>
  <c r="D281" i="6"/>
  <c r="D280" i="6"/>
  <c r="B300" i="6"/>
  <c r="D300" i="6" s="1"/>
  <c r="J268" i="6"/>
  <c r="J55" i="7" s="1"/>
  <c r="T126" i="6" l="1"/>
  <c r="T246" i="6"/>
  <c r="S126" i="6"/>
  <c r="S246" i="6"/>
  <c r="O279" i="6"/>
  <c r="P279" i="6"/>
  <c r="J58" i="7"/>
  <c r="J56" i="7"/>
  <c r="J57" i="7"/>
  <c r="N261" i="6"/>
  <c r="N260" i="6" s="1"/>
  <c r="N126" i="6" s="1"/>
  <c r="L279" i="6"/>
  <c r="N279" i="6"/>
  <c r="M279" i="6"/>
  <c r="B283" i="6"/>
  <c r="D282" i="6"/>
  <c r="B301" i="6"/>
  <c r="D301" i="6" s="1"/>
  <c r="J59" i="7" l="1"/>
  <c r="O261" i="6"/>
  <c r="O260" i="6" s="1"/>
  <c r="O126" i="6" s="1"/>
  <c r="B284" i="6"/>
  <c r="D283" i="6"/>
  <c r="B302" i="6"/>
  <c r="D302" i="6" s="1"/>
  <c r="K268" i="6"/>
  <c r="K55" i="7" s="1"/>
  <c r="K57" i="7" l="1"/>
  <c r="K58" i="7"/>
  <c r="K56" i="7"/>
  <c r="P261" i="6"/>
  <c r="P260" i="6" s="1"/>
  <c r="P126" i="6" s="1"/>
  <c r="B285" i="6"/>
  <c r="D284" i="6"/>
  <c r="B303" i="6"/>
  <c r="D303" i="6" s="1"/>
  <c r="K59" i="7" l="1"/>
  <c r="R261" i="6"/>
  <c r="R260" i="6" s="1"/>
  <c r="R126" i="6" s="1"/>
  <c r="Q261" i="6"/>
  <c r="Q260" i="6" s="1"/>
  <c r="Q126" i="6" s="1"/>
  <c r="B286" i="6"/>
  <c r="D286" i="6" s="1"/>
  <c r="D285" i="6"/>
  <c r="B304" i="6"/>
  <c r="D304" i="6" s="1"/>
  <c r="B305" i="6" l="1"/>
  <c r="D305" i="6" s="1"/>
  <c r="L225" i="6"/>
  <c r="L221" i="6"/>
  <c r="L220" i="6" s="1"/>
  <c r="R225" i="6"/>
  <c r="R217" i="6"/>
  <c r="R216" i="6" s="1"/>
  <c r="R15" i="6" s="1"/>
  <c r="L217" i="6"/>
  <c r="L216" i="6" s="1"/>
  <c r="R209" i="6"/>
  <c r="L209" i="6"/>
  <c r="H89" i="6"/>
  <c r="I89" i="6"/>
  <c r="J89" i="6"/>
  <c r="K89" i="6"/>
  <c r="L89" i="6" s="1"/>
  <c r="M89" i="6" s="1"/>
  <c r="N89" i="6" s="1"/>
  <c r="O89" i="6" s="1"/>
  <c r="P89" i="6" s="1"/>
  <c r="Q89" i="6" s="1"/>
  <c r="R89" i="6" s="1"/>
  <c r="S89" i="6" s="1"/>
  <c r="T89" i="6" s="1"/>
  <c r="G89" i="6"/>
  <c r="H154" i="6"/>
  <c r="I154" i="6"/>
  <c r="J154" i="6"/>
  <c r="K154" i="6"/>
  <c r="G154" i="6"/>
  <c r="H136" i="6"/>
  <c r="I136" i="6"/>
  <c r="J136" i="6"/>
  <c r="K136" i="6"/>
  <c r="H137" i="6"/>
  <c r="I137" i="6"/>
  <c r="J137" i="6"/>
  <c r="K137" i="6"/>
  <c r="H138" i="6"/>
  <c r="I138" i="6"/>
  <c r="J138" i="6"/>
  <c r="K138" i="6"/>
  <c r="H139" i="6"/>
  <c r="I139" i="6"/>
  <c r="J139" i="6"/>
  <c r="K139" i="6"/>
  <c r="H140" i="6"/>
  <c r="I140" i="6"/>
  <c r="J140" i="6"/>
  <c r="K140" i="6"/>
  <c r="H141" i="6"/>
  <c r="I141" i="6"/>
  <c r="J141" i="6"/>
  <c r="K141" i="6"/>
  <c r="H142" i="6"/>
  <c r="I142" i="6"/>
  <c r="J142" i="6"/>
  <c r="K142" i="6"/>
  <c r="H143" i="6"/>
  <c r="I143" i="6"/>
  <c r="J143" i="6"/>
  <c r="K143" i="6"/>
  <c r="H144" i="6"/>
  <c r="I144" i="6"/>
  <c r="J144" i="6"/>
  <c r="K144" i="6"/>
  <c r="H145" i="6"/>
  <c r="I145" i="6"/>
  <c r="J145" i="6"/>
  <c r="K145" i="6"/>
  <c r="H150" i="6"/>
  <c r="I150" i="6"/>
  <c r="J150" i="6"/>
  <c r="K150" i="6"/>
  <c r="G137" i="6"/>
  <c r="G138" i="6"/>
  <c r="G139" i="6"/>
  <c r="G140" i="6"/>
  <c r="G141" i="6"/>
  <c r="G142" i="6"/>
  <c r="G143" i="6"/>
  <c r="G144" i="6"/>
  <c r="G145" i="6"/>
  <c r="G150" i="6"/>
  <c r="G136" i="6"/>
  <c r="H126" i="6"/>
  <c r="H260" i="6" s="1"/>
  <c r="I126" i="6"/>
  <c r="I260" i="6" s="1"/>
  <c r="J126" i="6"/>
  <c r="J260" i="6" s="1"/>
  <c r="K126" i="6"/>
  <c r="K260" i="6" s="1"/>
  <c r="H127" i="6"/>
  <c r="I127" i="6"/>
  <c r="J127" i="6"/>
  <c r="K127" i="6"/>
  <c r="H128" i="6"/>
  <c r="I128" i="6"/>
  <c r="J128" i="6"/>
  <c r="K128" i="6"/>
  <c r="H129" i="6"/>
  <c r="I129" i="6"/>
  <c r="J129" i="6"/>
  <c r="K129" i="6"/>
  <c r="H131" i="6"/>
  <c r="I131" i="6"/>
  <c r="J131" i="6"/>
  <c r="K131" i="6"/>
  <c r="G127" i="6"/>
  <c r="G128" i="6"/>
  <c r="G129" i="6"/>
  <c r="G131" i="6"/>
  <c r="G126" i="6"/>
  <c r="G260" i="6" s="1"/>
  <c r="H108" i="6"/>
  <c r="I108" i="6"/>
  <c r="J108" i="6"/>
  <c r="K108" i="6"/>
  <c r="H109" i="6"/>
  <c r="I109" i="6"/>
  <c r="J109" i="6"/>
  <c r="K109" i="6"/>
  <c r="H110" i="6"/>
  <c r="I110" i="6"/>
  <c r="J110" i="6"/>
  <c r="K110" i="6"/>
  <c r="H111" i="6"/>
  <c r="I111" i="6"/>
  <c r="J111" i="6"/>
  <c r="K111" i="6"/>
  <c r="H113" i="6"/>
  <c r="I113" i="6"/>
  <c r="J113" i="6"/>
  <c r="K113" i="6"/>
  <c r="H114" i="6"/>
  <c r="I114" i="6"/>
  <c r="J114" i="6"/>
  <c r="K114" i="6"/>
  <c r="H115" i="6"/>
  <c r="I115" i="6"/>
  <c r="J115" i="6"/>
  <c r="K115" i="6"/>
  <c r="H116" i="6"/>
  <c r="I116" i="6"/>
  <c r="J116" i="6"/>
  <c r="K116" i="6"/>
  <c r="H117" i="6"/>
  <c r="I117" i="6"/>
  <c r="J117" i="6"/>
  <c r="K117" i="6"/>
  <c r="H118" i="6"/>
  <c r="I118" i="6"/>
  <c r="J118" i="6"/>
  <c r="K118" i="6"/>
  <c r="H119" i="6"/>
  <c r="I119" i="6"/>
  <c r="J119" i="6"/>
  <c r="K119" i="6"/>
  <c r="H120" i="6"/>
  <c r="I120" i="6"/>
  <c r="J120" i="6"/>
  <c r="K120" i="6"/>
  <c r="H121" i="6"/>
  <c r="I121" i="6"/>
  <c r="J121" i="6"/>
  <c r="K121" i="6"/>
  <c r="H122" i="6"/>
  <c r="I122" i="6"/>
  <c r="J122" i="6"/>
  <c r="K122" i="6"/>
  <c r="G109" i="6"/>
  <c r="G110" i="6"/>
  <c r="G111" i="6"/>
  <c r="G113" i="6"/>
  <c r="G114" i="6"/>
  <c r="G115" i="6"/>
  <c r="G116" i="6"/>
  <c r="G117" i="6"/>
  <c r="G118" i="6"/>
  <c r="G119" i="6"/>
  <c r="G120" i="6"/>
  <c r="G121" i="6"/>
  <c r="G122" i="6"/>
  <c r="G108" i="6"/>
  <c r="H53" i="6"/>
  <c r="I53" i="6"/>
  <c r="J53" i="6"/>
  <c r="K53" i="6"/>
  <c r="L53" i="6" s="1"/>
  <c r="M53" i="6" s="1"/>
  <c r="N53" i="6" s="1"/>
  <c r="O53" i="6" s="1"/>
  <c r="P53" i="6" s="1"/>
  <c r="Q53" i="6" s="1"/>
  <c r="R53" i="6" s="1"/>
  <c r="S53" i="6" s="1"/>
  <c r="T53" i="6" s="1"/>
  <c r="H54" i="6"/>
  <c r="H242" i="6" s="1"/>
  <c r="I54" i="6"/>
  <c r="I242" i="6" s="1"/>
  <c r="J54" i="6"/>
  <c r="J242" i="6" s="1"/>
  <c r="K54" i="6"/>
  <c r="K242" i="6" s="1"/>
  <c r="K247" i="6" s="1"/>
  <c r="H55" i="6"/>
  <c r="I55" i="6"/>
  <c r="J55" i="6"/>
  <c r="K55" i="6"/>
  <c r="L55" i="6" s="1"/>
  <c r="M55" i="6" s="1"/>
  <c r="N55" i="6" s="1"/>
  <c r="O55" i="6" s="1"/>
  <c r="P55" i="6" s="1"/>
  <c r="Q55" i="6" s="1"/>
  <c r="R55" i="6" s="1"/>
  <c r="S55" i="6" s="1"/>
  <c r="T55" i="6" s="1"/>
  <c r="H56" i="6"/>
  <c r="I56" i="6"/>
  <c r="J56" i="6"/>
  <c r="K56" i="6"/>
  <c r="L56" i="6" s="1"/>
  <c r="M56" i="6" s="1"/>
  <c r="N56" i="6" s="1"/>
  <c r="O56" i="6" s="1"/>
  <c r="P56" i="6" s="1"/>
  <c r="Q56" i="6" s="1"/>
  <c r="R56" i="6" s="1"/>
  <c r="S56" i="6" s="1"/>
  <c r="T56" i="6" s="1"/>
  <c r="H57" i="6"/>
  <c r="H350" i="6" s="1"/>
  <c r="I57" i="6"/>
  <c r="I350" i="6" s="1"/>
  <c r="J57" i="6"/>
  <c r="J350" i="6" s="1"/>
  <c r="K57" i="6"/>
  <c r="K350" i="6" s="1"/>
  <c r="K355" i="6" s="1"/>
  <c r="S352" i="6" s="1"/>
  <c r="H58" i="6"/>
  <c r="I58" i="6"/>
  <c r="J58" i="6"/>
  <c r="K58" i="6"/>
  <c r="L58" i="6" s="1"/>
  <c r="M58" i="6" s="1"/>
  <c r="N58" i="6" s="1"/>
  <c r="O58" i="6" s="1"/>
  <c r="P58" i="6" s="1"/>
  <c r="Q58" i="6" s="1"/>
  <c r="R58" i="6" s="1"/>
  <c r="S58" i="6" s="1"/>
  <c r="T58" i="6" s="1"/>
  <c r="G54" i="6"/>
  <c r="G242" i="6" s="1"/>
  <c r="G55" i="6"/>
  <c r="G56" i="6"/>
  <c r="G57" i="6"/>
  <c r="G350" i="6" s="1"/>
  <c r="G58" i="6"/>
  <c r="G53" i="6"/>
  <c r="G65" i="6"/>
  <c r="H65" i="6"/>
  <c r="I65" i="6"/>
  <c r="J65" i="6"/>
  <c r="K65" i="6"/>
  <c r="G66" i="6"/>
  <c r="H66" i="6"/>
  <c r="I66" i="6"/>
  <c r="J66" i="6"/>
  <c r="J395" i="6" s="1"/>
  <c r="K66" i="6"/>
  <c r="K395" i="6" s="1"/>
  <c r="S395" i="6" s="1"/>
  <c r="S66" i="6" s="1"/>
  <c r="G67" i="6"/>
  <c r="H67" i="6"/>
  <c r="I67" i="6"/>
  <c r="J67" i="6"/>
  <c r="K67" i="6"/>
  <c r="G68" i="6"/>
  <c r="H68" i="6"/>
  <c r="I68" i="6"/>
  <c r="J68" i="6"/>
  <c r="K68" i="6"/>
  <c r="G69" i="6"/>
  <c r="G393" i="6" s="1"/>
  <c r="H69" i="6"/>
  <c r="H393" i="6" s="1"/>
  <c r="I69" i="6"/>
  <c r="I393" i="6" s="1"/>
  <c r="J69" i="6"/>
  <c r="J393" i="6" s="1"/>
  <c r="K69" i="6"/>
  <c r="K393" i="6" s="1"/>
  <c r="G70" i="6"/>
  <c r="H70" i="6"/>
  <c r="I70" i="6"/>
  <c r="J70" i="6"/>
  <c r="K70" i="6"/>
  <c r="L70" i="6" s="1"/>
  <c r="M70" i="6" s="1"/>
  <c r="N70" i="6" s="1"/>
  <c r="O70" i="6" s="1"/>
  <c r="P70" i="6" s="1"/>
  <c r="Q70" i="6" s="1"/>
  <c r="R70" i="6" s="1"/>
  <c r="S70" i="6" s="1"/>
  <c r="T70" i="6" s="1"/>
  <c r="G71" i="6"/>
  <c r="H71" i="6"/>
  <c r="I71" i="6"/>
  <c r="J71" i="6"/>
  <c r="K71" i="6"/>
  <c r="L71" i="6" s="1"/>
  <c r="G72" i="6"/>
  <c r="H72" i="6"/>
  <c r="I72" i="6"/>
  <c r="J72" i="6"/>
  <c r="K72" i="6"/>
  <c r="L72" i="6" s="1"/>
  <c r="M72" i="6" s="1"/>
  <c r="N72" i="6" s="1"/>
  <c r="O72" i="6" s="1"/>
  <c r="P72" i="6" s="1"/>
  <c r="Q72" i="6" s="1"/>
  <c r="R72" i="6" s="1"/>
  <c r="S72" i="6" s="1"/>
  <c r="T72" i="6" s="1"/>
  <c r="H90" i="6"/>
  <c r="I90" i="6"/>
  <c r="J90" i="6"/>
  <c r="K90" i="6"/>
  <c r="H92" i="6"/>
  <c r="I92" i="6"/>
  <c r="J92" i="6"/>
  <c r="K92" i="6"/>
  <c r="H93" i="6"/>
  <c r="I93" i="6"/>
  <c r="J93" i="6"/>
  <c r="K93" i="6"/>
  <c r="L93" i="6" s="1"/>
  <c r="M93" i="6" s="1"/>
  <c r="N93" i="6" s="1"/>
  <c r="O93" i="6" s="1"/>
  <c r="P93" i="6" s="1"/>
  <c r="Q93" i="6" s="1"/>
  <c r="R93" i="6" s="1"/>
  <c r="S93" i="6" s="1"/>
  <c r="T93" i="6" s="1"/>
  <c r="G90" i="6"/>
  <c r="G92" i="6"/>
  <c r="G93" i="6"/>
  <c r="H77" i="6"/>
  <c r="I77" i="6"/>
  <c r="J77" i="6"/>
  <c r="K77" i="6"/>
  <c r="H78" i="6"/>
  <c r="I78" i="6"/>
  <c r="J78" i="6"/>
  <c r="K78" i="6"/>
  <c r="L78" i="6" s="1"/>
  <c r="H79" i="6"/>
  <c r="I79" i="6"/>
  <c r="J79" i="6"/>
  <c r="K79" i="6"/>
  <c r="L79" i="6" s="1"/>
  <c r="H80" i="6"/>
  <c r="I80" i="6"/>
  <c r="J80" i="6"/>
  <c r="K80" i="6"/>
  <c r="L80" i="6" s="1"/>
  <c r="M80" i="6" s="1"/>
  <c r="N80" i="6" s="1"/>
  <c r="O80" i="6" s="1"/>
  <c r="P80" i="6" s="1"/>
  <c r="Q80" i="6" s="1"/>
  <c r="R80" i="6" s="1"/>
  <c r="S80" i="6" s="1"/>
  <c r="T80" i="6" s="1"/>
  <c r="H81" i="6"/>
  <c r="I81" i="6"/>
  <c r="J81" i="6"/>
  <c r="K81" i="6"/>
  <c r="L81" i="6" s="1"/>
  <c r="M81" i="6" s="1"/>
  <c r="N81" i="6" s="1"/>
  <c r="O81" i="6" s="1"/>
  <c r="P81" i="6" s="1"/>
  <c r="Q81" i="6" s="1"/>
  <c r="R81" i="6" s="1"/>
  <c r="S81" i="6" s="1"/>
  <c r="T81" i="6" s="1"/>
  <c r="H82" i="6"/>
  <c r="I82" i="6"/>
  <c r="J82" i="6"/>
  <c r="K82" i="6"/>
  <c r="L82" i="6" s="1"/>
  <c r="M82" i="6" s="1"/>
  <c r="N82" i="6" s="1"/>
  <c r="O82" i="6" s="1"/>
  <c r="P82" i="6" s="1"/>
  <c r="Q82" i="6" s="1"/>
  <c r="R82" i="6" s="1"/>
  <c r="S82" i="6" s="1"/>
  <c r="T82" i="6" s="1"/>
  <c r="H83" i="6"/>
  <c r="I83" i="6"/>
  <c r="J83" i="6"/>
  <c r="K83" i="6"/>
  <c r="L83" i="6" s="1"/>
  <c r="M83" i="6" s="1"/>
  <c r="N83" i="6" s="1"/>
  <c r="O83" i="6" s="1"/>
  <c r="P83" i="6" s="1"/>
  <c r="Q83" i="6" s="1"/>
  <c r="R83" i="6" s="1"/>
  <c r="S83" i="6" s="1"/>
  <c r="T83" i="6" s="1"/>
  <c r="G78" i="6"/>
  <c r="G79" i="6"/>
  <c r="G80" i="6"/>
  <c r="G81" i="6"/>
  <c r="G82" i="6"/>
  <c r="G83" i="6"/>
  <c r="G77" i="6"/>
  <c r="H46" i="6"/>
  <c r="H387" i="6" s="1"/>
  <c r="I46" i="6"/>
  <c r="I387" i="6" s="1"/>
  <c r="J46" i="6"/>
  <c r="J387" i="6" s="1"/>
  <c r="K46" i="6"/>
  <c r="H47" i="6"/>
  <c r="H388" i="6" s="1"/>
  <c r="I47" i="6"/>
  <c r="I388" i="6" s="1"/>
  <c r="J47" i="6"/>
  <c r="J388" i="6" s="1"/>
  <c r="K47" i="6"/>
  <c r="K388" i="6" s="1"/>
  <c r="S388" i="6" s="1"/>
  <c r="S47" i="6" s="1"/>
  <c r="H48" i="6"/>
  <c r="H389" i="6" s="1"/>
  <c r="I48" i="6"/>
  <c r="I389" i="6" s="1"/>
  <c r="J48" i="6"/>
  <c r="J389" i="6" s="1"/>
  <c r="K48" i="6"/>
  <c r="H49" i="6"/>
  <c r="I49" i="6"/>
  <c r="J49" i="6"/>
  <c r="K49" i="6"/>
  <c r="G47" i="6"/>
  <c r="G388" i="6" s="1"/>
  <c r="G48" i="6"/>
  <c r="G49" i="6"/>
  <c r="G46" i="6"/>
  <c r="G387" i="6" s="1"/>
  <c r="H45" i="6"/>
  <c r="H42" i="6" s="1"/>
  <c r="I45" i="6"/>
  <c r="I42" i="6" s="1"/>
  <c r="J45" i="6"/>
  <c r="J42" i="6" s="1"/>
  <c r="K45" i="6"/>
  <c r="G45" i="6"/>
  <c r="H25" i="6"/>
  <c r="H220" i="6" s="1"/>
  <c r="I25" i="6"/>
  <c r="I220" i="6" s="1"/>
  <c r="J25" i="6"/>
  <c r="J220" i="6" s="1"/>
  <c r="K25" i="6"/>
  <c r="K220" i="6" s="1"/>
  <c r="G25" i="6"/>
  <c r="G220" i="6" s="1"/>
  <c r="H22" i="6"/>
  <c r="H415" i="6" s="1"/>
  <c r="I22" i="6"/>
  <c r="I415" i="6" s="1"/>
  <c r="J22" i="6"/>
  <c r="J415" i="6" s="1"/>
  <c r="K22" i="6"/>
  <c r="K415" i="6" s="1"/>
  <c r="G22" i="6"/>
  <c r="G415" i="6" s="1"/>
  <c r="H28" i="6"/>
  <c r="H224" i="6" s="1"/>
  <c r="I28" i="6"/>
  <c r="I224" i="6" s="1"/>
  <c r="J28" i="6"/>
  <c r="J224" i="6" s="1"/>
  <c r="K28" i="6"/>
  <c r="K224" i="6" s="1"/>
  <c r="G28" i="6"/>
  <c r="G224" i="6" s="1"/>
  <c r="H17" i="6"/>
  <c r="I17" i="6"/>
  <c r="J17" i="6"/>
  <c r="K17" i="6"/>
  <c r="L17" i="6" s="1"/>
  <c r="L110" i="6" s="1"/>
  <c r="G17" i="6"/>
  <c r="H11" i="6"/>
  <c r="H384" i="6" s="1"/>
  <c r="I11" i="6"/>
  <c r="J11" i="6"/>
  <c r="K11" i="6"/>
  <c r="H15" i="6"/>
  <c r="I15" i="6"/>
  <c r="J15" i="6"/>
  <c r="K15" i="6"/>
  <c r="G15" i="6"/>
  <c r="G11" i="6"/>
  <c r="H10" i="6"/>
  <c r="H382" i="6" s="1"/>
  <c r="I10" i="6"/>
  <c r="I382" i="6" s="1"/>
  <c r="J10" i="6"/>
  <c r="J382" i="6" s="1"/>
  <c r="K10" i="6"/>
  <c r="K382" i="6" s="1"/>
  <c r="G382" i="6"/>
  <c r="G73" i="7" s="1"/>
  <c r="N4" i="7"/>
  <c r="O4" i="7" s="1"/>
  <c r="P4" i="7" s="1"/>
  <c r="Q4" i="7" s="1"/>
  <c r="R4" i="7" s="1"/>
  <c r="H73" i="7" l="1"/>
  <c r="G42" i="6"/>
  <c r="K159" i="6"/>
  <c r="L157" i="6" s="1"/>
  <c r="K42" i="6"/>
  <c r="G384" i="6"/>
  <c r="G208" i="6"/>
  <c r="J89" i="7"/>
  <c r="I89" i="7"/>
  <c r="S393" i="6"/>
  <c r="K89" i="7"/>
  <c r="H89" i="7"/>
  <c r="G89" i="7"/>
  <c r="L68" i="6"/>
  <c r="M68" i="6" s="1"/>
  <c r="N68" i="6" s="1"/>
  <c r="O68" i="6" s="1"/>
  <c r="P68" i="6" s="1"/>
  <c r="Q68" i="6" s="1"/>
  <c r="R68" i="6" s="1"/>
  <c r="S68" i="6" s="1"/>
  <c r="C20" i="8" s="1"/>
  <c r="H73" i="6"/>
  <c r="S112" i="6"/>
  <c r="L112" i="6"/>
  <c r="L244" i="6"/>
  <c r="S244" i="6"/>
  <c r="L589" i="6"/>
  <c r="S589" i="6"/>
  <c r="T582" i="6"/>
  <c r="L90" i="6"/>
  <c r="M90" i="6" s="1"/>
  <c r="N90" i="6" s="1"/>
  <c r="O90" i="6" s="1"/>
  <c r="P90" i="6" s="1"/>
  <c r="Q90" i="6" s="1"/>
  <c r="R90" i="6" s="1"/>
  <c r="S90" i="6" s="1"/>
  <c r="T90" i="6" s="1"/>
  <c r="K412" i="6"/>
  <c r="S410" i="6" s="1"/>
  <c r="I412" i="6"/>
  <c r="J410" i="6" s="1"/>
  <c r="J412" i="6"/>
  <c r="K410" i="6" s="1"/>
  <c r="H412" i="6"/>
  <c r="I410" i="6" s="1"/>
  <c r="L119" i="6"/>
  <c r="L118" i="6"/>
  <c r="K387" i="6"/>
  <c r="S387" i="6" s="1"/>
  <c r="S46" i="6" s="1"/>
  <c r="L116" i="6"/>
  <c r="M79" i="6"/>
  <c r="L113" i="6"/>
  <c r="M71" i="6"/>
  <c r="L122" i="6"/>
  <c r="J73" i="7"/>
  <c r="I73" i="7"/>
  <c r="K73" i="6"/>
  <c r="J73" i="6"/>
  <c r="M78" i="6"/>
  <c r="I73" i="6"/>
  <c r="J384" i="6"/>
  <c r="I384" i="6"/>
  <c r="K384" i="6"/>
  <c r="L25" i="6"/>
  <c r="S220" i="6"/>
  <c r="S25" i="6" s="1"/>
  <c r="T220" i="6"/>
  <c r="T25" i="6" s="1"/>
  <c r="L15" i="6"/>
  <c r="T216" i="6"/>
  <c r="T15" i="6" s="1"/>
  <c r="S216" i="6"/>
  <c r="S15" i="6" s="1"/>
  <c r="M17" i="6"/>
  <c r="G216" i="6"/>
  <c r="G217" i="6" s="1"/>
  <c r="G40" i="7"/>
  <c r="K216" i="6"/>
  <c r="K217" i="6" s="1"/>
  <c r="K40" i="7"/>
  <c r="J216" i="6"/>
  <c r="J217" i="6" s="1"/>
  <c r="J40" i="7"/>
  <c r="I216" i="6"/>
  <c r="I217" i="6" s="1"/>
  <c r="I40" i="7"/>
  <c r="H216" i="6"/>
  <c r="H217" i="6" s="1"/>
  <c r="H40" i="7"/>
  <c r="G84" i="6"/>
  <c r="J213" i="6"/>
  <c r="J35" i="7" s="1"/>
  <c r="I213" i="6"/>
  <c r="I35" i="7" s="1"/>
  <c r="H214" i="6"/>
  <c r="I84" i="6"/>
  <c r="G394" i="6"/>
  <c r="G73" i="6"/>
  <c r="H84" i="6"/>
  <c r="K151" i="6"/>
  <c r="I151" i="6"/>
  <c r="J84" i="6"/>
  <c r="H394" i="6"/>
  <c r="H78" i="7" s="1"/>
  <c r="H151" i="6"/>
  <c r="J151" i="6"/>
  <c r="K84" i="6"/>
  <c r="G151" i="6"/>
  <c r="G412" i="6"/>
  <c r="K389" i="6"/>
  <c r="H390" i="6"/>
  <c r="I390" i="6"/>
  <c r="J390" i="6"/>
  <c r="H87" i="7"/>
  <c r="H395" i="6"/>
  <c r="K394" i="6"/>
  <c r="K396" i="6" s="1"/>
  <c r="I394" i="6"/>
  <c r="G85" i="7"/>
  <c r="G389" i="6"/>
  <c r="G390" i="6" s="1"/>
  <c r="I87" i="7"/>
  <c r="I395" i="6"/>
  <c r="J394" i="6"/>
  <c r="J396" i="6" s="1"/>
  <c r="G87" i="7"/>
  <c r="G395" i="6"/>
  <c r="G83" i="7"/>
  <c r="H208" i="6"/>
  <c r="H209" i="6" s="1"/>
  <c r="H30" i="7" s="1"/>
  <c r="G209" i="6"/>
  <c r="G30" i="7" s="1"/>
  <c r="J85" i="7"/>
  <c r="K240" i="6"/>
  <c r="K348" i="6" s="1"/>
  <c r="I85" i="7"/>
  <c r="H85" i="7"/>
  <c r="I240" i="6"/>
  <c r="I348" i="6" s="1"/>
  <c r="K83" i="7"/>
  <c r="H240" i="6"/>
  <c r="H348" i="6" s="1"/>
  <c r="J83" i="7"/>
  <c r="I83" i="7"/>
  <c r="H83" i="7"/>
  <c r="J240" i="6"/>
  <c r="J348" i="6" s="1"/>
  <c r="K87" i="7"/>
  <c r="G240" i="6"/>
  <c r="G348" i="6" s="1"/>
  <c r="K85" i="7"/>
  <c r="J87" i="7"/>
  <c r="L352" i="6"/>
  <c r="K31" i="6"/>
  <c r="K236" i="6" s="1"/>
  <c r="G31" i="6"/>
  <c r="G236" i="6" s="1"/>
  <c r="H31" i="6"/>
  <c r="H236" i="6" s="1"/>
  <c r="J31" i="6"/>
  <c r="J236" i="6" s="1"/>
  <c r="I31" i="6"/>
  <c r="I236" i="6" s="1"/>
  <c r="I222" i="6"/>
  <c r="J222" i="6"/>
  <c r="H226" i="6"/>
  <c r="G221" i="6"/>
  <c r="G45" i="7" s="1"/>
  <c r="H221" i="6"/>
  <c r="H45" i="7" s="1"/>
  <c r="K222" i="6"/>
  <c r="K221" i="6"/>
  <c r="K45" i="7" s="1"/>
  <c r="K226" i="6"/>
  <c r="J226" i="6"/>
  <c r="H222" i="6"/>
  <c r="J221" i="6"/>
  <c r="J45" i="7" s="1"/>
  <c r="I221" i="6"/>
  <c r="I45" i="7" s="1"/>
  <c r="I226" i="6"/>
  <c r="P225" i="6"/>
  <c r="N225" i="6"/>
  <c r="O225" i="6"/>
  <c r="M225" i="6"/>
  <c r="M217" i="6"/>
  <c r="M216" i="6" s="1"/>
  <c r="M15" i="6" s="1"/>
  <c r="M209" i="6"/>
  <c r="M221" i="6"/>
  <c r="N209" i="6"/>
  <c r="N221" i="6"/>
  <c r="Q225" i="6"/>
  <c r="N217" i="6"/>
  <c r="N216" i="6" s="1"/>
  <c r="N15" i="6" s="1"/>
  <c r="K213" i="6"/>
  <c r="K35" i="7" s="1"/>
  <c r="G213" i="6"/>
  <c r="G35" i="7" s="1"/>
  <c r="K208" i="6"/>
  <c r="I208" i="6"/>
  <c r="J208" i="6"/>
  <c r="G132" i="6"/>
  <c r="K123" i="6"/>
  <c r="G123" i="6"/>
  <c r="I123" i="6"/>
  <c r="H123" i="6"/>
  <c r="K132" i="6"/>
  <c r="J132" i="6"/>
  <c r="J123" i="6"/>
  <c r="I132" i="6"/>
  <c r="H132" i="6"/>
  <c r="G50" i="6"/>
  <c r="G94" i="6"/>
  <c r="I94" i="6"/>
  <c r="G59" i="6"/>
  <c r="H94" i="6"/>
  <c r="I50" i="6"/>
  <c r="H50" i="6"/>
  <c r="J94" i="6"/>
  <c r="J50" i="6"/>
  <c r="K50" i="6"/>
  <c r="K94" i="6"/>
  <c r="K59" i="6"/>
  <c r="I59" i="6"/>
  <c r="J59" i="6"/>
  <c r="H59" i="6"/>
  <c r="H12" i="6"/>
  <c r="G12" i="6"/>
  <c r="G18" i="6"/>
  <c r="K18" i="6"/>
  <c r="J18" i="6"/>
  <c r="I18" i="6"/>
  <c r="H18" i="6"/>
  <c r="K12" i="6"/>
  <c r="J12" i="6"/>
  <c r="I12" i="6"/>
  <c r="G78" i="7" l="1"/>
  <c r="S157" i="6"/>
  <c r="J416" i="6"/>
  <c r="J114" i="7" s="1"/>
  <c r="I396" i="6"/>
  <c r="I398" i="6" s="1"/>
  <c r="T68" i="6"/>
  <c r="G396" i="6"/>
  <c r="G398" i="6" s="1"/>
  <c r="K416" i="6"/>
  <c r="K114" i="7" s="1"/>
  <c r="H396" i="6"/>
  <c r="H398" i="6" s="1"/>
  <c r="I416" i="6"/>
  <c r="I114" i="7" s="1"/>
  <c r="S412" i="6"/>
  <c r="T410" i="6" s="1"/>
  <c r="S69" i="6"/>
  <c r="S118" i="6" s="1"/>
  <c r="T69" i="6"/>
  <c r="H86" i="6"/>
  <c r="H96" i="6" s="1"/>
  <c r="T116" i="6"/>
  <c r="S116" i="6"/>
  <c r="L582" i="6"/>
  <c r="G155" i="6"/>
  <c r="H155" i="6"/>
  <c r="I155" i="6"/>
  <c r="K155" i="6"/>
  <c r="L410" i="6"/>
  <c r="J155" i="6"/>
  <c r="K78" i="7"/>
  <c r="K73" i="7"/>
  <c r="J86" i="6"/>
  <c r="J78" i="7"/>
  <c r="N17" i="6"/>
  <c r="M110" i="6"/>
  <c r="N79" i="6"/>
  <c r="M113" i="6"/>
  <c r="N71" i="6"/>
  <c r="M122" i="6"/>
  <c r="M118" i="6"/>
  <c r="K390" i="6"/>
  <c r="K398" i="6" s="1"/>
  <c r="S389" i="6"/>
  <c r="I86" i="6"/>
  <c r="I96" i="6" s="1"/>
  <c r="I78" i="7"/>
  <c r="K86" i="6"/>
  <c r="K96" i="6" s="1"/>
  <c r="N78" i="6"/>
  <c r="K218" i="6"/>
  <c r="I218" i="6"/>
  <c r="K214" i="6"/>
  <c r="J218" i="6"/>
  <c r="I214" i="6"/>
  <c r="H213" i="6"/>
  <c r="H35" i="7" s="1"/>
  <c r="H218" i="6"/>
  <c r="J214" i="6"/>
  <c r="H410" i="6"/>
  <c r="H416" i="6" s="1"/>
  <c r="H114" i="7" s="1"/>
  <c r="J398" i="6"/>
  <c r="H210" i="6"/>
  <c r="I261" i="6"/>
  <c r="I51" i="7" s="1"/>
  <c r="K261" i="6"/>
  <c r="K51" i="7" s="1"/>
  <c r="H261" i="6"/>
  <c r="H51" i="7" s="1"/>
  <c r="G261" i="6"/>
  <c r="G51" i="7" s="1"/>
  <c r="J261" i="6"/>
  <c r="J51" i="7" s="1"/>
  <c r="I209" i="6"/>
  <c r="I30" i="7" s="1"/>
  <c r="I210" i="6"/>
  <c r="K209" i="6"/>
  <c r="K30" i="7" s="1"/>
  <c r="K210" i="6"/>
  <c r="J209" i="6"/>
  <c r="J30" i="7" s="1"/>
  <c r="J210" i="6"/>
  <c r="P217" i="6"/>
  <c r="P216" i="6" s="1"/>
  <c r="P15" i="6" s="1"/>
  <c r="O221" i="6"/>
  <c r="P209" i="6"/>
  <c r="O217" i="6"/>
  <c r="O216" i="6" s="1"/>
  <c r="O15" i="6" s="1"/>
  <c r="O209" i="6"/>
  <c r="G86" i="6"/>
  <c r="G96" i="6" s="1"/>
  <c r="G61" i="6"/>
  <c r="H61" i="6"/>
  <c r="J61" i="6"/>
  <c r="I61" i="6"/>
  <c r="K61" i="6"/>
  <c r="I20" i="6"/>
  <c r="G20" i="6"/>
  <c r="H20" i="6"/>
  <c r="J20" i="6"/>
  <c r="K20" i="6"/>
  <c r="S415" i="6" l="1"/>
  <c r="S560" i="6" s="1"/>
  <c r="T118" i="6"/>
  <c r="S553" i="6"/>
  <c r="S557" i="6" s="1"/>
  <c r="N118" i="6"/>
  <c r="O79" i="6"/>
  <c r="N113" i="6"/>
  <c r="O71" i="6"/>
  <c r="N122" i="6"/>
  <c r="O17" i="6"/>
  <c r="N110" i="6"/>
  <c r="S48" i="6"/>
  <c r="S390" i="6"/>
  <c r="O78" i="6"/>
  <c r="H399" i="6"/>
  <c r="I399" i="6"/>
  <c r="K399" i="6"/>
  <c r="J399" i="6"/>
  <c r="M348" i="6"/>
  <c r="M363" i="6" s="1"/>
  <c r="M130" i="6" s="1"/>
  <c r="M132" i="6" s="1"/>
  <c r="M429" i="6" s="1"/>
  <c r="J96" i="6"/>
  <c r="Q209" i="6"/>
  <c r="P221" i="6"/>
  <c r="Q217" i="6"/>
  <c r="Q216" i="6" s="1"/>
  <c r="Q15" i="6" s="1"/>
  <c r="M220" i="6"/>
  <c r="M25" i="6" s="1"/>
  <c r="M208" i="6"/>
  <c r="M11" i="6" s="1"/>
  <c r="M212" i="6"/>
  <c r="M16" i="6" s="1"/>
  <c r="M18" i="6" s="1"/>
  <c r="J26" i="6"/>
  <c r="J225" i="6" s="1"/>
  <c r="J47" i="7" s="1"/>
  <c r="J32" i="6"/>
  <c r="I26" i="6"/>
  <c r="I225" i="6" s="1"/>
  <c r="I47" i="7" s="1"/>
  <c r="I32" i="6"/>
  <c r="H26" i="6"/>
  <c r="H225" i="6" s="1"/>
  <c r="H47" i="7" s="1"/>
  <c r="H32" i="6"/>
  <c r="G26" i="6"/>
  <c r="G225" i="6" s="1"/>
  <c r="G47" i="7" s="1"/>
  <c r="G32" i="6"/>
  <c r="K26" i="6"/>
  <c r="K225" i="6" s="1"/>
  <c r="K47" i="7" s="1"/>
  <c r="K32" i="6"/>
  <c r="T119" i="6" l="1"/>
  <c r="S119" i="6"/>
  <c r="P79" i="6"/>
  <c r="O113" i="6"/>
  <c r="P71" i="6"/>
  <c r="O122" i="6"/>
  <c r="O110" i="6"/>
  <c r="P17" i="6"/>
  <c r="O118" i="6"/>
  <c r="P78" i="6"/>
  <c r="M12" i="6"/>
  <c r="M20" i="6" s="1"/>
  <c r="M384" i="6"/>
  <c r="M394" i="6" s="1"/>
  <c r="M396" i="6" s="1"/>
  <c r="M368" i="6"/>
  <c r="M369" i="6"/>
  <c r="M354" i="6"/>
  <c r="M367" i="6"/>
  <c r="L348" i="6"/>
  <c r="L363" i="6" s="1"/>
  <c r="R221" i="6"/>
  <c r="Q221" i="6"/>
  <c r="M218" i="6"/>
  <c r="M222" i="6"/>
  <c r="L212" i="6"/>
  <c r="L208" i="6"/>
  <c r="I29" i="6"/>
  <c r="J29" i="6"/>
  <c r="G29" i="6"/>
  <c r="K29" i="6"/>
  <c r="H29" i="6"/>
  <c r="L130" i="6" l="1"/>
  <c r="L132" i="6" s="1"/>
  <c r="T363" i="6"/>
  <c r="S363" i="6"/>
  <c r="Q17" i="6"/>
  <c r="P110" i="6"/>
  <c r="Q71" i="6"/>
  <c r="P122" i="6"/>
  <c r="P118" i="6"/>
  <c r="Q79" i="6"/>
  <c r="P113" i="6"/>
  <c r="Q78" i="6"/>
  <c r="M398" i="6"/>
  <c r="M65" i="6"/>
  <c r="L11" i="6"/>
  <c r="S11" i="6" s="1"/>
  <c r="T208" i="6"/>
  <c r="S208" i="6"/>
  <c r="L16" i="6"/>
  <c r="L18" i="6" s="1"/>
  <c r="S212" i="6"/>
  <c r="S16" i="6" s="1"/>
  <c r="T212" i="6"/>
  <c r="T16" i="6" s="1"/>
  <c r="M210" i="6"/>
  <c r="M214" i="6"/>
  <c r="M370" i="6"/>
  <c r="L367" i="6"/>
  <c r="M246" i="6"/>
  <c r="I32" i="20" s="1"/>
  <c r="M266" i="6"/>
  <c r="M313" i="6" s="1"/>
  <c r="C319" i="6" s="1"/>
  <c r="K319" i="6" s="1"/>
  <c r="R319" i="6" s="1"/>
  <c r="M265" i="6"/>
  <c r="M294" i="6" s="1"/>
  <c r="C300" i="6" s="1"/>
  <c r="K300" i="6" s="1"/>
  <c r="Q300" i="6" s="1"/>
  <c r="M264" i="6"/>
  <c r="M275" i="6" s="1"/>
  <c r="C281" i="6" s="1"/>
  <c r="K281" i="6" s="1"/>
  <c r="M267" i="6"/>
  <c r="M332" i="6" s="1"/>
  <c r="C338" i="6" s="1"/>
  <c r="K338" i="6" s="1"/>
  <c r="L354" i="6"/>
  <c r="L368" i="6"/>
  <c r="L369" i="6"/>
  <c r="L210" i="6"/>
  <c r="L214" i="6"/>
  <c r="L222" i="6"/>
  <c r="L218" i="6"/>
  <c r="S130" i="6" l="1"/>
  <c r="S132" i="6" s="1"/>
  <c r="S354" i="6"/>
  <c r="S355" i="6" s="1"/>
  <c r="T130" i="6"/>
  <c r="T132" i="6" s="1"/>
  <c r="T429" i="6" s="1"/>
  <c r="L429" i="6" s="1"/>
  <c r="T354" i="6"/>
  <c r="R79" i="6"/>
  <c r="Q113" i="6"/>
  <c r="R71" i="6"/>
  <c r="Q122" i="6"/>
  <c r="Q118" i="6"/>
  <c r="R17" i="6"/>
  <c r="Q110" i="6"/>
  <c r="R78" i="6"/>
  <c r="S12" i="6"/>
  <c r="S384" i="6"/>
  <c r="T11" i="6"/>
  <c r="L384" i="6"/>
  <c r="L394" i="6" s="1"/>
  <c r="L396" i="6" s="1"/>
  <c r="L12" i="6"/>
  <c r="L20" i="6" s="1"/>
  <c r="Q338" i="6"/>
  <c r="N338" i="6"/>
  <c r="O338" i="6"/>
  <c r="P338" i="6"/>
  <c r="M281" i="6"/>
  <c r="P281" i="6"/>
  <c r="Q281" i="6"/>
  <c r="L246" i="6"/>
  <c r="H32" i="20" s="1"/>
  <c r="L275" i="6"/>
  <c r="C280" i="6" s="1"/>
  <c r="K280" i="6" s="1"/>
  <c r="L267" i="6"/>
  <c r="L332" i="6" s="1"/>
  <c r="C337" i="6" s="1"/>
  <c r="K337" i="6" s="1"/>
  <c r="L266" i="6"/>
  <c r="L313" i="6" s="1"/>
  <c r="C318" i="6" s="1"/>
  <c r="K318" i="6" s="1"/>
  <c r="P318" i="6" s="1"/>
  <c r="L265" i="6"/>
  <c r="L294" i="6" s="1"/>
  <c r="C299" i="6" s="1"/>
  <c r="K299" i="6" s="1"/>
  <c r="O299" i="6" s="1"/>
  <c r="N300" i="6"/>
  <c r="M319" i="6"/>
  <c r="P319" i="6"/>
  <c r="N319" i="6"/>
  <c r="N281" i="6"/>
  <c r="O319" i="6"/>
  <c r="O281" i="6"/>
  <c r="Q319" i="6"/>
  <c r="P300" i="6"/>
  <c r="O300" i="6"/>
  <c r="M300" i="6"/>
  <c r="R300" i="6"/>
  <c r="L370" i="6"/>
  <c r="M268" i="6"/>
  <c r="M338" i="6"/>
  <c r="N348" i="6"/>
  <c r="N363" i="6" s="1"/>
  <c r="N130" i="6" s="1"/>
  <c r="N132" i="6" s="1"/>
  <c r="N429" i="6" s="1"/>
  <c r="N220" i="6"/>
  <c r="N25" i="6" s="1"/>
  <c r="N212" i="6"/>
  <c r="N16" i="6" s="1"/>
  <c r="N18" i="6" s="1"/>
  <c r="N208" i="6"/>
  <c r="N11" i="6" s="1"/>
  <c r="T352" i="6" l="1"/>
  <c r="T355" i="6" s="1"/>
  <c r="T350" i="6" s="1"/>
  <c r="S350" i="6"/>
  <c r="S71" i="6"/>
  <c r="R122" i="6"/>
  <c r="R118" i="6"/>
  <c r="S17" i="6"/>
  <c r="S110" i="6" s="1"/>
  <c r="R110" i="6"/>
  <c r="S79" i="6"/>
  <c r="R113" i="6"/>
  <c r="S78" i="6"/>
  <c r="C21" i="8" s="1"/>
  <c r="S394" i="6"/>
  <c r="S396" i="6" s="1"/>
  <c r="T394" i="6"/>
  <c r="T396" i="6" s="1"/>
  <c r="L65" i="6"/>
  <c r="L398" i="6"/>
  <c r="T12" i="6"/>
  <c r="T384" i="6"/>
  <c r="N12" i="6"/>
  <c r="N20" i="6" s="1"/>
  <c r="N384" i="6"/>
  <c r="N394" i="6" s="1"/>
  <c r="N396" i="6" s="1"/>
  <c r="L337" i="6"/>
  <c r="L344" i="6" s="1"/>
  <c r="O337" i="6"/>
  <c r="P337" i="6"/>
  <c r="M280" i="6"/>
  <c r="M287" i="6" s="1"/>
  <c r="M276" i="6" s="1"/>
  <c r="O280" i="6"/>
  <c r="P280" i="6"/>
  <c r="L318" i="6"/>
  <c r="L325" i="6" s="1"/>
  <c r="M318" i="6"/>
  <c r="M325" i="6" s="1"/>
  <c r="M314" i="6" s="1"/>
  <c r="O318" i="6"/>
  <c r="N318" i="6"/>
  <c r="N337" i="6"/>
  <c r="M337" i="6"/>
  <c r="M344" i="6" s="1"/>
  <c r="M333" i="6" s="1"/>
  <c r="L280" i="6"/>
  <c r="L287" i="6" s="1"/>
  <c r="N280" i="6"/>
  <c r="P299" i="6"/>
  <c r="M299" i="6"/>
  <c r="M306" i="6" s="1"/>
  <c r="M295" i="6" s="1"/>
  <c r="N299" i="6"/>
  <c r="L268" i="6"/>
  <c r="R318" i="6"/>
  <c r="R299" i="6"/>
  <c r="Q318" i="6"/>
  <c r="Q299" i="6"/>
  <c r="L299" i="6"/>
  <c r="L306" i="6" s="1"/>
  <c r="N267" i="6"/>
  <c r="N332" i="6" s="1"/>
  <c r="C339" i="6" s="1"/>
  <c r="K339" i="6" s="1"/>
  <c r="N354" i="6"/>
  <c r="N369" i="6"/>
  <c r="N368" i="6"/>
  <c r="N367" i="6"/>
  <c r="O348" i="6"/>
  <c r="O363" i="6" s="1"/>
  <c r="O130" i="6" s="1"/>
  <c r="O132" i="6" s="1"/>
  <c r="O429" i="6" s="1"/>
  <c r="N218" i="6"/>
  <c r="N210" i="6"/>
  <c r="N214" i="6"/>
  <c r="N222" i="6"/>
  <c r="O220" i="6"/>
  <c r="O25" i="6" s="1"/>
  <c r="O208" i="6"/>
  <c r="O11" i="6" s="1"/>
  <c r="O212" i="6"/>
  <c r="O16" i="6" s="1"/>
  <c r="O18" i="6" s="1"/>
  <c r="L276" i="6" l="1"/>
  <c r="L333" i="6"/>
  <c r="L334" i="6" s="1"/>
  <c r="M257" i="6"/>
  <c r="L295" i="6"/>
  <c r="L296" i="6" s="1"/>
  <c r="M293" i="6" s="1"/>
  <c r="M296" i="6" s="1"/>
  <c r="N293" i="6" s="1"/>
  <c r="L314" i="6"/>
  <c r="L315" i="6" s="1"/>
  <c r="T71" i="6"/>
  <c r="T122" i="6" s="1"/>
  <c r="S122" i="6"/>
  <c r="T79" i="6"/>
  <c r="T113" i="6" s="1"/>
  <c r="S113" i="6"/>
  <c r="T17" i="6"/>
  <c r="S18" i="6"/>
  <c r="S20" i="6" s="1"/>
  <c r="L117" i="6"/>
  <c r="M117" i="6"/>
  <c r="T78" i="6"/>
  <c r="S84" i="6"/>
  <c r="N65" i="6"/>
  <c r="N398" i="6"/>
  <c r="L399" i="6"/>
  <c r="M399" i="6"/>
  <c r="T398" i="6"/>
  <c r="T65" i="6"/>
  <c r="S65" i="6"/>
  <c r="S117" i="6" s="1"/>
  <c r="S398" i="6"/>
  <c r="O12" i="6"/>
  <c r="O20" i="6" s="1"/>
  <c r="O384" i="6"/>
  <c r="O394" i="6" s="1"/>
  <c r="O396" i="6" s="1"/>
  <c r="P339" i="6"/>
  <c r="Q339" i="6"/>
  <c r="O339" i="6"/>
  <c r="R339" i="6"/>
  <c r="N264" i="6"/>
  <c r="N275" i="6" s="1"/>
  <c r="C282" i="6" s="1"/>
  <c r="K282" i="6" s="1"/>
  <c r="N266" i="6"/>
  <c r="N313" i="6" s="1"/>
  <c r="C320" i="6" s="1"/>
  <c r="K320" i="6" s="1"/>
  <c r="O320" i="6" s="1"/>
  <c r="N265" i="6"/>
  <c r="N294" i="6" s="1"/>
  <c r="C301" i="6" s="1"/>
  <c r="K301" i="6" s="1"/>
  <c r="N301" i="6" s="1"/>
  <c r="N306" i="6" s="1"/>
  <c r="N295" i="6" s="1"/>
  <c r="N246" i="6"/>
  <c r="J32" i="20" s="1"/>
  <c r="O368" i="6"/>
  <c r="N370" i="6"/>
  <c r="O367" i="6"/>
  <c r="O354" i="6"/>
  <c r="O369" i="6"/>
  <c r="O246" i="6"/>
  <c r="K32" i="20" s="1"/>
  <c r="P348" i="6"/>
  <c r="P363" i="6" s="1"/>
  <c r="P130" i="6" s="1"/>
  <c r="P132" i="6" s="1"/>
  <c r="P429" i="6" s="1"/>
  <c r="N339" i="6"/>
  <c r="N344" i="6" s="1"/>
  <c r="N333" i="6" s="1"/>
  <c r="L355" i="6"/>
  <c r="P220" i="6"/>
  <c r="P25" i="6" s="1"/>
  <c r="P212" i="6"/>
  <c r="P16" i="6" s="1"/>
  <c r="P18" i="6" s="1"/>
  <c r="P208" i="6"/>
  <c r="P11" i="6" s="1"/>
  <c r="O214" i="6"/>
  <c r="O210" i="6"/>
  <c r="O222" i="6"/>
  <c r="O218" i="6"/>
  <c r="L252" i="6" l="1"/>
  <c r="M312" i="6"/>
  <c r="M315" i="6" s="1"/>
  <c r="M252" i="6" s="1"/>
  <c r="L257" i="6"/>
  <c r="L236" i="6" s="1"/>
  <c r="M331" i="6"/>
  <c r="M334" i="6" s="1"/>
  <c r="N331" i="6" s="1"/>
  <c r="L253" i="6"/>
  <c r="L251" i="6"/>
  <c r="L277" i="6"/>
  <c r="S73" i="6"/>
  <c r="S86" i="6" s="1"/>
  <c r="T117" i="6"/>
  <c r="T18" i="6"/>
  <c r="T20" i="6" s="1"/>
  <c r="T110" i="6"/>
  <c r="N117" i="6"/>
  <c r="T399" i="6"/>
  <c r="S236" i="6"/>
  <c r="O398" i="6"/>
  <c r="O399" i="6" s="1"/>
  <c r="O65" i="6"/>
  <c r="N399" i="6"/>
  <c r="P12" i="6"/>
  <c r="P20" i="6" s="1"/>
  <c r="P384" i="6"/>
  <c r="P394" i="6" s="1"/>
  <c r="P396" i="6" s="1"/>
  <c r="M245" i="6"/>
  <c r="M236" i="6"/>
  <c r="M31" i="6" s="1"/>
  <c r="M109" i="6" s="1"/>
  <c r="N282" i="6"/>
  <c r="N287" i="6" s="1"/>
  <c r="N276" i="6" s="1"/>
  <c r="Q282" i="6"/>
  <c r="R282" i="6"/>
  <c r="N268" i="6"/>
  <c r="O282" i="6"/>
  <c r="M251" i="6"/>
  <c r="P282" i="6"/>
  <c r="R320" i="6"/>
  <c r="Q320" i="6"/>
  <c r="N320" i="6"/>
  <c r="N325" i="6" s="1"/>
  <c r="N314" i="6" s="1"/>
  <c r="P320" i="6"/>
  <c r="P301" i="6"/>
  <c r="Q301" i="6"/>
  <c r="O301" i="6"/>
  <c r="N296" i="6"/>
  <c r="O293" i="6" s="1"/>
  <c r="R301" i="6"/>
  <c r="O370" i="6"/>
  <c r="P369" i="6"/>
  <c r="P264" i="6"/>
  <c r="P275" i="6" s="1"/>
  <c r="C284" i="6" s="1"/>
  <c r="K284" i="6" s="1"/>
  <c r="R284" i="6" s="1"/>
  <c r="P368" i="6"/>
  <c r="O266" i="6"/>
  <c r="O313" i="6" s="1"/>
  <c r="C321" i="6" s="1"/>
  <c r="K321" i="6" s="1"/>
  <c r="O265" i="6"/>
  <c r="O294" i="6" s="1"/>
  <c r="C302" i="6" s="1"/>
  <c r="K302" i="6" s="1"/>
  <c r="O302" i="6" s="1"/>
  <c r="P354" i="6"/>
  <c r="P367" i="6"/>
  <c r="O267" i="6"/>
  <c r="O332" i="6" s="1"/>
  <c r="C340" i="6" s="1"/>
  <c r="K340" i="6" s="1"/>
  <c r="O264" i="6"/>
  <c r="O275" i="6" s="1"/>
  <c r="C283" i="6" s="1"/>
  <c r="K283" i="6" s="1"/>
  <c r="Q348" i="6"/>
  <c r="Q363" i="6" s="1"/>
  <c r="Q130" i="6" s="1"/>
  <c r="Q132" i="6" s="1"/>
  <c r="Q429" i="6" s="1"/>
  <c r="R348" i="6"/>
  <c r="R363" i="6" s="1"/>
  <c r="R130" i="6" s="1"/>
  <c r="R132" i="6" s="1"/>
  <c r="R429" i="6" s="1"/>
  <c r="L350" i="6"/>
  <c r="M352" i="6"/>
  <c r="M355" i="6" s="1"/>
  <c r="R220" i="6"/>
  <c r="R25" i="6" s="1"/>
  <c r="R208" i="6"/>
  <c r="R11" i="6" s="1"/>
  <c r="R212" i="6"/>
  <c r="R16" i="6" s="1"/>
  <c r="R18" i="6" s="1"/>
  <c r="P214" i="6"/>
  <c r="P222" i="6"/>
  <c r="P210" i="6"/>
  <c r="Q220" i="6"/>
  <c r="Q25" i="6" s="1"/>
  <c r="Q208" i="6"/>
  <c r="Q11" i="6" s="1"/>
  <c r="Q212" i="6"/>
  <c r="Q16" i="6" s="1"/>
  <c r="Q18" i="6" s="1"/>
  <c r="P218" i="6"/>
  <c r="M253" i="6" l="1"/>
  <c r="L31" i="6"/>
  <c r="L109" i="6" s="1"/>
  <c r="T236" i="6"/>
  <c r="T31" i="6" s="1"/>
  <c r="T109" i="6" s="1"/>
  <c r="N312" i="6"/>
  <c r="L245" i="6"/>
  <c r="T245" i="6" s="1"/>
  <c r="L258" i="6"/>
  <c r="M256" i="6" s="1"/>
  <c r="M258" i="6" s="1"/>
  <c r="N256" i="6" s="1"/>
  <c r="M274" i="6"/>
  <c r="M277" i="6" s="1"/>
  <c r="L250" i="6"/>
  <c r="L254" i="6" s="1"/>
  <c r="N257" i="6"/>
  <c r="N236" i="6" s="1"/>
  <c r="N31" i="6" s="1"/>
  <c r="N109" i="6" s="1"/>
  <c r="S31" i="6"/>
  <c r="S109" i="6" s="1"/>
  <c r="O117" i="6"/>
  <c r="M32" i="6"/>
  <c r="T57" i="6"/>
  <c r="L57" i="6"/>
  <c r="S57" i="6"/>
  <c r="P398" i="6"/>
  <c r="P399" i="6" s="1"/>
  <c r="P65" i="6"/>
  <c r="R12" i="6"/>
  <c r="R20" i="6" s="1"/>
  <c r="R384" i="6"/>
  <c r="R394" i="6" s="1"/>
  <c r="R396" i="6" s="1"/>
  <c r="Q12" i="6"/>
  <c r="Q20" i="6" s="1"/>
  <c r="Q384" i="6"/>
  <c r="Q394" i="6" s="1"/>
  <c r="Q396" i="6" s="1"/>
  <c r="O283" i="6"/>
  <c r="O287" i="6" s="1"/>
  <c r="O276" i="6" s="1"/>
  <c r="Q283" i="6"/>
  <c r="P283" i="6"/>
  <c r="R283" i="6"/>
  <c r="O340" i="6"/>
  <c r="O344" i="6" s="1"/>
  <c r="O333" i="6" s="1"/>
  <c r="P340" i="6"/>
  <c r="Q340" i="6"/>
  <c r="R340" i="6"/>
  <c r="N315" i="6"/>
  <c r="O312" i="6" s="1"/>
  <c r="O306" i="6"/>
  <c r="N251" i="6"/>
  <c r="P246" i="6"/>
  <c r="L32" i="20" s="1"/>
  <c r="P265" i="6"/>
  <c r="P294" i="6" s="1"/>
  <c r="C303" i="6" s="1"/>
  <c r="K303" i="6" s="1"/>
  <c r="P303" i="6" s="1"/>
  <c r="P266" i="6"/>
  <c r="P313" i="6" s="1"/>
  <c r="C322" i="6" s="1"/>
  <c r="K322" i="6" s="1"/>
  <c r="Q322" i="6" s="1"/>
  <c r="P267" i="6"/>
  <c r="P332" i="6" s="1"/>
  <c r="C341" i="6" s="1"/>
  <c r="K341" i="6" s="1"/>
  <c r="P341" i="6" s="1"/>
  <c r="P370" i="6"/>
  <c r="O268" i="6"/>
  <c r="Q354" i="6"/>
  <c r="Q367" i="6"/>
  <c r="R368" i="6"/>
  <c r="Q369" i="6"/>
  <c r="Q368" i="6"/>
  <c r="R369" i="6"/>
  <c r="R246" i="6"/>
  <c r="N32" i="20" s="1"/>
  <c r="Q284" i="6"/>
  <c r="R354" i="6"/>
  <c r="R367" i="6"/>
  <c r="N334" i="6"/>
  <c r="O331" i="6" s="1"/>
  <c r="R302" i="6"/>
  <c r="Q302" i="6"/>
  <c r="P302" i="6"/>
  <c r="P284" i="6"/>
  <c r="M350" i="6"/>
  <c r="M57" i="6" s="1"/>
  <c r="N352" i="6"/>
  <c r="N355" i="6" s="1"/>
  <c r="R321" i="6"/>
  <c r="Q321" i="6"/>
  <c r="P321" i="6"/>
  <c r="O321" i="6"/>
  <c r="O325" i="6" s="1"/>
  <c r="O314" i="6" s="1"/>
  <c r="Q210" i="6"/>
  <c r="Q218" i="6"/>
  <c r="R210" i="6"/>
  <c r="Q222" i="6"/>
  <c r="R218" i="6"/>
  <c r="Q214" i="6"/>
  <c r="R214" i="6"/>
  <c r="R222" i="6"/>
  <c r="L32" i="6" l="1"/>
  <c r="S245" i="6"/>
  <c r="S247" i="6" s="1"/>
  <c r="T244" i="6" s="1"/>
  <c r="T247" i="6" s="1"/>
  <c r="T242" i="6" s="1"/>
  <c r="T54" i="6" s="1"/>
  <c r="T59" i="6" s="1"/>
  <c r="L247" i="6"/>
  <c r="L242" i="6" s="1"/>
  <c r="L54" i="6" s="1"/>
  <c r="L59" i="6" s="1"/>
  <c r="O295" i="6"/>
  <c r="O296" i="6" s="1"/>
  <c r="N274" i="6"/>
  <c r="N277" i="6" s="1"/>
  <c r="N250" i="6" s="1"/>
  <c r="M250" i="6"/>
  <c r="M254" i="6" s="1"/>
  <c r="T32" i="6"/>
  <c r="S32" i="6"/>
  <c r="D8" i="20" s="1"/>
  <c r="P117" i="6"/>
  <c r="N32" i="6"/>
  <c r="Q65" i="6"/>
  <c r="Q398" i="6"/>
  <c r="R65" i="6"/>
  <c r="R398" i="6"/>
  <c r="S399" i="6" s="1"/>
  <c r="N245" i="6"/>
  <c r="N258" i="6"/>
  <c r="O256" i="6" s="1"/>
  <c r="O315" i="6"/>
  <c r="P312" i="6" s="1"/>
  <c r="N252" i="6"/>
  <c r="R303" i="6"/>
  <c r="P322" i="6"/>
  <c r="P325" i="6" s="1"/>
  <c r="P314" i="6" s="1"/>
  <c r="Q303" i="6"/>
  <c r="Q341" i="6"/>
  <c r="P268" i="6"/>
  <c r="R322" i="6"/>
  <c r="P287" i="6"/>
  <c r="P276" i="6" s="1"/>
  <c r="R341" i="6"/>
  <c r="P344" i="6"/>
  <c r="P333" i="6" s="1"/>
  <c r="Q370" i="6"/>
  <c r="R370" i="6"/>
  <c r="R267" i="6"/>
  <c r="R332" i="6" s="1"/>
  <c r="C343" i="6" s="1"/>
  <c r="K343" i="6" s="1"/>
  <c r="R343" i="6" s="1"/>
  <c r="Q266" i="6"/>
  <c r="Q313" i="6" s="1"/>
  <c r="C323" i="6" s="1"/>
  <c r="K323" i="6" s="1"/>
  <c r="R323" i="6" s="1"/>
  <c r="Q264" i="6"/>
  <c r="Q275" i="6" s="1"/>
  <c r="C285" i="6" s="1"/>
  <c r="K285" i="6" s="1"/>
  <c r="Q285" i="6" s="1"/>
  <c r="Q287" i="6" s="1"/>
  <c r="Q276" i="6" s="1"/>
  <c r="Q265" i="6"/>
  <c r="Q294" i="6" s="1"/>
  <c r="C304" i="6" s="1"/>
  <c r="K304" i="6" s="1"/>
  <c r="Q304" i="6" s="1"/>
  <c r="N253" i="6"/>
  <c r="Q267" i="6"/>
  <c r="Q332" i="6" s="1"/>
  <c r="C342" i="6" s="1"/>
  <c r="K342" i="6" s="1"/>
  <c r="R342" i="6" s="1"/>
  <c r="Q246" i="6"/>
  <c r="M32" i="20" s="1"/>
  <c r="R266" i="6"/>
  <c r="R313" i="6" s="1"/>
  <c r="C324" i="6" s="1"/>
  <c r="K324" i="6" s="1"/>
  <c r="R324" i="6" s="1"/>
  <c r="R264" i="6"/>
  <c r="R275" i="6" s="1"/>
  <c r="C286" i="6" s="1"/>
  <c r="K286" i="6" s="1"/>
  <c r="R286" i="6" s="1"/>
  <c r="R265" i="6"/>
  <c r="R294" i="6" s="1"/>
  <c r="C305" i="6" s="1"/>
  <c r="K305" i="6" s="1"/>
  <c r="R305" i="6" s="1"/>
  <c r="N350" i="6"/>
  <c r="N57" i="6" s="1"/>
  <c r="O352" i="6"/>
  <c r="O334" i="6"/>
  <c r="S242" i="6" l="1"/>
  <c r="S54" i="6" s="1"/>
  <c r="S59" i="6" s="1"/>
  <c r="M244" i="6"/>
  <c r="M247" i="6" s="1"/>
  <c r="M242" i="6" s="1"/>
  <c r="M54" i="6" s="1"/>
  <c r="M59" i="6" s="1"/>
  <c r="O274" i="6"/>
  <c r="O277" i="6" s="1"/>
  <c r="O250" i="6" s="1"/>
  <c r="P293" i="6"/>
  <c r="O251" i="6"/>
  <c r="O257" i="6"/>
  <c r="O236" i="6" s="1"/>
  <c r="O31" i="6" s="1"/>
  <c r="O109" i="6" s="1"/>
  <c r="Q117" i="6"/>
  <c r="R117" i="6"/>
  <c r="Q399" i="6"/>
  <c r="R399" i="6"/>
  <c r="N254" i="6"/>
  <c r="O252" i="6"/>
  <c r="Q306" i="6"/>
  <c r="Q295" i="6" s="1"/>
  <c r="R285" i="6"/>
  <c r="R287" i="6" s="1"/>
  <c r="R276" i="6" s="1"/>
  <c r="R344" i="6"/>
  <c r="R333" i="6" s="1"/>
  <c r="Q323" i="6"/>
  <c r="Q325" i="6" s="1"/>
  <c r="Q314" i="6" s="1"/>
  <c r="Q268" i="6"/>
  <c r="P315" i="6"/>
  <c r="P252" i="6" s="1"/>
  <c r="R268" i="6"/>
  <c r="R325" i="6"/>
  <c r="R314" i="6" s="1"/>
  <c r="K344" i="6"/>
  <c r="P304" i="6"/>
  <c r="P306" i="6" s="1"/>
  <c r="R304" i="6"/>
  <c r="R306" i="6" s="1"/>
  <c r="R295" i="6" s="1"/>
  <c r="K325" i="6"/>
  <c r="Q342" i="6"/>
  <c r="Q344" i="6" s="1"/>
  <c r="Q333" i="6" s="1"/>
  <c r="K287" i="6"/>
  <c r="K306" i="6"/>
  <c r="O355" i="6"/>
  <c r="P331" i="6"/>
  <c r="P334" i="6" s="1"/>
  <c r="O253" i="6"/>
  <c r="H30" i="8"/>
  <c r="C42" i="8"/>
  <c r="C26" i="8"/>
  <c r="C22" i="8"/>
  <c r="N244" i="6" l="1"/>
  <c r="N247" i="6" s="1"/>
  <c r="N242" i="6" s="1"/>
  <c r="N54" i="6" s="1"/>
  <c r="N59" i="6" s="1"/>
  <c r="P274" i="6"/>
  <c r="P277" i="6" s="1"/>
  <c r="P250" i="6" s="1"/>
  <c r="Q257" i="6"/>
  <c r="Q236" i="6" s="1"/>
  <c r="Q31" i="6" s="1"/>
  <c r="Q109" i="6" s="1"/>
  <c r="O245" i="6"/>
  <c r="O32" i="6"/>
  <c r="P295" i="6"/>
  <c r="P257" i="6" s="1"/>
  <c r="P236" i="6" s="1"/>
  <c r="P31" i="6" s="1"/>
  <c r="R257" i="6"/>
  <c r="R236" i="6" s="1"/>
  <c r="R31" i="6" s="1"/>
  <c r="R109" i="6" s="1"/>
  <c r="O258" i="6"/>
  <c r="P256" i="6" s="1"/>
  <c r="O244" i="6"/>
  <c r="H31" i="8"/>
  <c r="O254" i="6"/>
  <c r="Q312" i="6"/>
  <c r="Q315" i="6" s="1"/>
  <c r="Q252" i="6" s="1"/>
  <c r="P352" i="6"/>
  <c r="P355" i="6" s="1"/>
  <c r="O350" i="6"/>
  <c r="O57" i="6" s="1"/>
  <c r="Q331" i="6"/>
  <c r="P253" i="6"/>
  <c r="I48" i="8"/>
  <c r="E49" i="8"/>
  <c r="T472" i="6" s="1"/>
  <c r="L472" i="6" s="1"/>
  <c r="E50" i="8"/>
  <c r="H29" i="8"/>
  <c r="O8" i="8"/>
  <c r="N8" i="20" s="1"/>
  <c r="O7" i="8"/>
  <c r="N7" i="20" s="1"/>
  <c r="C28" i="8"/>
  <c r="O6" i="8" s="1"/>
  <c r="C17" i="8"/>
  <c r="Q274" i="6" l="1"/>
  <c r="Q277" i="6" s="1"/>
  <c r="R274" i="6" s="1"/>
  <c r="R277" i="6" s="1"/>
  <c r="R250" i="6" s="1"/>
  <c r="O247" i="6"/>
  <c r="P244" i="6" s="1"/>
  <c r="P296" i="6"/>
  <c r="Q293" i="6" s="1"/>
  <c r="Q296" i="6" s="1"/>
  <c r="R293" i="6" s="1"/>
  <c r="R296" i="6" s="1"/>
  <c r="R251" i="6" s="1"/>
  <c r="P258" i="6"/>
  <c r="Q256" i="6" s="1"/>
  <c r="Q258" i="6" s="1"/>
  <c r="P109" i="6"/>
  <c r="P32" i="6"/>
  <c r="P245" i="6"/>
  <c r="T411" i="6"/>
  <c r="T546" i="6" s="1"/>
  <c r="T137" i="6" s="1"/>
  <c r="R32" i="6"/>
  <c r="Q32" i="6"/>
  <c r="T487" i="6"/>
  <c r="N50" i="8"/>
  <c r="N49" i="8"/>
  <c r="G515" i="6" s="1"/>
  <c r="P473" i="6"/>
  <c r="Q473" i="6"/>
  <c r="R473" i="6"/>
  <c r="T473" i="6"/>
  <c r="O473" i="6"/>
  <c r="M473" i="6"/>
  <c r="N473" i="6"/>
  <c r="R245" i="6"/>
  <c r="Q334" i="6"/>
  <c r="R331" i="6" s="1"/>
  <c r="R334" i="6" s="1"/>
  <c r="R253" i="6" s="1"/>
  <c r="Q245" i="6"/>
  <c r="R312" i="6"/>
  <c r="R315" i="6" s="1"/>
  <c r="R252" i="6" s="1"/>
  <c r="P350" i="6"/>
  <c r="P57" i="6" s="1"/>
  <c r="Q352" i="6"/>
  <c r="Q355" i="6" s="1"/>
  <c r="C29" i="8"/>
  <c r="O27" i="8"/>
  <c r="I50" i="8"/>
  <c r="I49" i="8"/>
  <c r="Q250" i="6" l="1"/>
  <c r="T412" i="6"/>
  <c r="P251" i="6"/>
  <c r="P254" i="6" s="1"/>
  <c r="Q251" i="6"/>
  <c r="O242" i="6"/>
  <c r="O54" i="6" s="1"/>
  <c r="O59" i="6" s="1"/>
  <c r="P247" i="6"/>
  <c r="P242" i="6" s="1"/>
  <c r="P54" i="6" s="1"/>
  <c r="P59" i="6" s="1"/>
  <c r="L487" i="6"/>
  <c r="T488" i="6"/>
  <c r="L488" i="6" s="1"/>
  <c r="L411" i="6"/>
  <c r="L546" i="6" s="1"/>
  <c r="L137" i="6" s="1"/>
  <c r="L473" i="6"/>
  <c r="T430" i="6"/>
  <c r="L430" i="6" s="1"/>
  <c r="H34" i="20" s="1"/>
  <c r="R256" i="6"/>
  <c r="R258" i="6" s="1"/>
  <c r="T496" i="6"/>
  <c r="L496" i="6" s="1"/>
  <c r="O488" i="6"/>
  <c r="O430" i="6" s="1"/>
  <c r="K34" i="20" s="1"/>
  <c r="Q488" i="6"/>
  <c r="Q430" i="6" s="1"/>
  <c r="M34" i="20" s="1"/>
  <c r="R488" i="6"/>
  <c r="R430" i="6" s="1"/>
  <c r="N34" i="20" s="1"/>
  <c r="N488" i="6"/>
  <c r="N430" i="6" s="1"/>
  <c r="J34" i="20" s="1"/>
  <c r="P488" i="6"/>
  <c r="P430" i="6" s="1"/>
  <c r="L34" i="20" s="1"/>
  <c r="M488" i="6"/>
  <c r="M430" i="6" s="1"/>
  <c r="I34" i="20" s="1"/>
  <c r="Q253" i="6"/>
  <c r="R254" i="6"/>
  <c r="Q350" i="6"/>
  <c r="Q57" i="6" s="1"/>
  <c r="R352" i="6"/>
  <c r="R355" i="6" s="1"/>
  <c r="O26" i="8"/>
  <c r="Q254" i="6" l="1"/>
  <c r="L412" i="6"/>
  <c r="M410" i="6" s="1"/>
  <c r="T553" i="6"/>
  <c r="T415" i="6"/>
  <c r="T560" i="6" s="1"/>
  <c r="Q244" i="6"/>
  <c r="Q247" i="6" s="1"/>
  <c r="Q242" i="6" s="1"/>
  <c r="Q54" i="6" s="1"/>
  <c r="Q59" i="6" s="1"/>
  <c r="L553" i="6"/>
  <c r="M411" i="6"/>
  <c r="R350" i="6"/>
  <c r="R57" i="6" s="1"/>
  <c r="L415" i="6" l="1"/>
  <c r="L560" i="6" s="1"/>
  <c r="R244" i="6"/>
  <c r="R247" i="6" s="1"/>
  <c r="R242" i="6" s="1"/>
  <c r="R54" i="6" s="1"/>
  <c r="R59" i="6" s="1"/>
  <c r="M412" i="6"/>
  <c r="M553" i="6" s="1"/>
  <c r="M546" i="6"/>
  <c r="M137" i="6" s="1"/>
  <c r="M415" i="6" l="1"/>
  <c r="M560" i="6" s="1"/>
  <c r="N410" i="6"/>
  <c r="N411" i="6" l="1"/>
  <c r="N546" i="6" s="1"/>
  <c r="N137" i="6" s="1"/>
  <c r="N412" i="6" l="1"/>
  <c r="N553" i="6" l="1"/>
  <c r="N415" i="6"/>
  <c r="N560" i="6" s="1"/>
  <c r="O410" i="6"/>
  <c r="O411" i="6" l="1"/>
  <c r="O546" i="6" s="1"/>
  <c r="O137" i="6" s="1"/>
  <c r="O412" i="6" l="1"/>
  <c r="O553" i="6" l="1"/>
  <c r="O415" i="6"/>
  <c r="O560" i="6" s="1"/>
  <c r="P410" i="6"/>
  <c r="P411" i="6" l="1"/>
  <c r="P546" i="6" s="1"/>
  <c r="P137" i="6" s="1"/>
  <c r="L601" i="6"/>
  <c r="M601" i="6"/>
  <c r="I29" i="20" s="1"/>
  <c r="H29" i="20" l="1"/>
  <c r="R45" i="20" s="1"/>
  <c r="P412" i="6"/>
  <c r="Q601" i="6"/>
  <c r="R601" i="6"/>
  <c r="N29" i="20" s="1"/>
  <c r="P601" i="6"/>
  <c r="L29" i="20" s="1"/>
  <c r="N601" i="6"/>
  <c r="J29" i="20" s="1"/>
  <c r="O601" i="6"/>
  <c r="K29" i="20" s="1"/>
  <c r="P553" i="6" l="1"/>
  <c r="P415" i="6"/>
  <c r="P560" i="6" s="1"/>
  <c r="M29" i="20"/>
  <c r="S45" i="20" s="1"/>
  <c r="Q410" i="6"/>
  <c r="L624" i="6"/>
  <c r="T45" i="20" l="1"/>
  <c r="Q45" i="20" s="1"/>
  <c r="U46" i="20"/>
  <c r="Q411" i="6"/>
  <c r="Q546" i="6" s="1"/>
  <c r="Q137" i="6" s="1"/>
  <c r="Q412" i="6" l="1"/>
  <c r="Q415" i="6" s="1"/>
  <c r="Q553" i="6" l="1"/>
  <c r="Q560" i="6"/>
  <c r="R410" i="6"/>
  <c r="R411" i="6" l="1"/>
  <c r="R412" i="6" s="1"/>
  <c r="R553" i="6" s="1"/>
  <c r="R546" i="6" l="1"/>
  <c r="R137" i="6" s="1"/>
  <c r="R415" i="6"/>
  <c r="R560" i="6" s="1"/>
  <c r="S475" i="6"/>
  <c r="S490" i="6"/>
  <c r="S493" i="6" l="1"/>
  <c r="S563" i="6" s="1"/>
  <c r="S564" i="6" s="1"/>
  <c r="S22" i="6" s="1"/>
  <c r="S498" i="6"/>
  <c r="S503" i="6"/>
  <c r="S26" i="6" l="1"/>
  <c r="L437" i="6" l="1"/>
  <c r="L554" i="6" s="1"/>
  <c r="L64" i="6" s="1"/>
  <c r="L73" i="6" s="1"/>
  <c r="T437" i="6"/>
  <c r="T554" i="6" s="1"/>
  <c r="T64" i="6" s="1"/>
  <c r="T73" i="6" s="1"/>
  <c r="L439" i="6"/>
  <c r="T439" i="6"/>
  <c r="T446" i="6"/>
  <c r="T547" i="6" l="1"/>
  <c r="T147" i="6" s="1"/>
  <c r="T442" i="6"/>
  <c r="T561" i="6" s="1"/>
  <c r="L446" i="6"/>
  <c r="T447" i="6"/>
  <c r="L547" i="6"/>
  <c r="M435" i="6"/>
  <c r="L442" i="6" l="1"/>
  <c r="L561" i="6" s="1"/>
  <c r="L147" i="6"/>
  <c r="L447" i="6"/>
  <c r="M445" i="6"/>
  <c r="T450" i="6"/>
  <c r="L450" i="6" l="1"/>
  <c r="L568" i="6" s="1"/>
  <c r="T568" i="6"/>
  <c r="I6" i="20" l="1"/>
  <c r="D9" i="20"/>
  <c r="N9" i="20"/>
  <c r="D10" i="20"/>
  <c r="I10" i="20"/>
  <c r="N10" i="20"/>
  <c r="I11" i="20"/>
  <c r="I13" i="20"/>
  <c r="B21" i="20"/>
  <c r="F21" i="20"/>
  <c r="J21" i="20"/>
  <c r="H31" i="20"/>
  <c r="I31" i="20"/>
  <c r="J31" i="20"/>
  <c r="K31" i="20"/>
  <c r="L31" i="20"/>
  <c r="M31" i="20"/>
  <c r="N31" i="20"/>
  <c r="H33" i="20"/>
  <c r="I33" i="20"/>
  <c r="J33" i="20"/>
  <c r="K33" i="20"/>
  <c r="L33" i="20"/>
  <c r="M33" i="20"/>
  <c r="N33" i="20"/>
  <c r="H35" i="20"/>
  <c r="I35" i="20"/>
  <c r="J35" i="20"/>
  <c r="K35" i="20"/>
  <c r="L35" i="20"/>
  <c r="M35" i="20"/>
  <c r="N35" i="20"/>
  <c r="H36" i="20"/>
  <c r="I36" i="20"/>
  <c r="J36" i="20"/>
  <c r="K36" i="20"/>
  <c r="L36" i="20"/>
  <c r="M36" i="20"/>
  <c r="N36" i="20"/>
  <c r="H37" i="20"/>
  <c r="I37" i="20"/>
  <c r="J37" i="20"/>
  <c r="K37" i="20"/>
  <c r="L37" i="20"/>
  <c r="M37" i="20"/>
  <c r="N37" i="20"/>
  <c r="H38" i="20"/>
  <c r="I38" i="20"/>
  <c r="J38" i="20"/>
  <c r="K38" i="20"/>
  <c r="L38" i="20"/>
  <c r="M38" i="20"/>
  <c r="N38" i="20"/>
  <c r="Q47" i="20"/>
  <c r="R47" i="20"/>
  <c r="S47" i="20"/>
  <c r="T47" i="20"/>
  <c r="Q48" i="20"/>
  <c r="Q52" i="20"/>
  <c r="R52" i="20"/>
  <c r="Q53" i="20"/>
  <c r="R53" i="20"/>
  <c r="Q54" i="20"/>
  <c r="R54" i="20"/>
  <c r="Q55" i="20"/>
  <c r="R55" i="20"/>
  <c r="Q56" i="20"/>
  <c r="R56" i="20"/>
  <c r="Q57" i="20"/>
  <c r="R57" i="20"/>
  <c r="H65" i="20"/>
  <c r="I65" i="20"/>
  <c r="J65" i="20"/>
  <c r="K65" i="20"/>
  <c r="L65" i="20"/>
  <c r="M65" i="20"/>
  <c r="N65" i="20"/>
  <c r="Q66" i="20"/>
  <c r="Q67" i="20"/>
  <c r="Q68" i="20"/>
  <c r="L103" i="7"/>
  <c r="M103" i="7"/>
  <c r="N103" i="7"/>
  <c r="O103" i="7"/>
  <c r="P103" i="7"/>
  <c r="Q103" i="7"/>
  <c r="R103" i="7"/>
  <c r="L104" i="7"/>
  <c r="M104" i="7"/>
  <c r="N104" i="7"/>
  <c r="O104" i="7"/>
  <c r="P104" i="7"/>
  <c r="Q104" i="7"/>
  <c r="R104" i="7"/>
  <c r="L107" i="7"/>
  <c r="M107" i="7"/>
  <c r="N107" i="7"/>
  <c r="O107" i="7"/>
  <c r="P107" i="7"/>
  <c r="Q107" i="7"/>
  <c r="R107" i="7"/>
  <c r="L108" i="7"/>
  <c r="M108" i="7"/>
  <c r="N108" i="7"/>
  <c r="O108" i="7"/>
  <c r="P108" i="7"/>
  <c r="Q108" i="7"/>
  <c r="R108" i="7"/>
  <c r="L22" i="6"/>
  <c r="M22" i="6"/>
  <c r="N22" i="6"/>
  <c r="O22" i="6"/>
  <c r="P22" i="6"/>
  <c r="Q22" i="6"/>
  <c r="R22" i="6"/>
  <c r="T22" i="6"/>
  <c r="L23" i="6"/>
  <c r="T23" i="6"/>
  <c r="L24" i="6"/>
  <c r="M24" i="6"/>
  <c r="N24" i="6"/>
  <c r="O24" i="6"/>
  <c r="P24" i="6"/>
  <c r="Q24" i="6"/>
  <c r="R24" i="6"/>
  <c r="T24" i="6"/>
  <c r="L26" i="6"/>
  <c r="M26" i="6"/>
  <c r="N26" i="6"/>
  <c r="O26" i="6"/>
  <c r="P26" i="6"/>
  <c r="Q26" i="6"/>
  <c r="R26" i="6"/>
  <c r="T26" i="6"/>
  <c r="L28" i="6"/>
  <c r="M28" i="6"/>
  <c r="N28" i="6"/>
  <c r="O28" i="6"/>
  <c r="P28" i="6"/>
  <c r="Q28" i="6"/>
  <c r="R28" i="6"/>
  <c r="S28" i="6"/>
  <c r="T28" i="6"/>
  <c r="L29" i="6"/>
  <c r="M29" i="6"/>
  <c r="N29" i="6"/>
  <c r="O29" i="6"/>
  <c r="P29" i="6"/>
  <c r="Q29" i="6"/>
  <c r="R29" i="6"/>
  <c r="S29" i="6"/>
  <c r="T29" i="6"/>
  <c r="L42" i="6"/>
  <c r="M42" i="6"/>
  <c r="N42" i="6"/>
  <c r="O42" i="6"/>
  <c r="P42" i="6"/>
  <c r="Q42" i="6"/>
  <c r="R42" i="6"/>
  <c r="S42" i="6"/>
  <c r="T42" i="6"/>
  <c r="L45" i="6"/>
  <c r="M45" i="6"/>
  <c r="N45" i="6"/>
  <c r="O45" i="6"/>
  <c r="P45" i="6"/>
  <c r="Q45" i="6"/>
  <c r="R45" i="6"/>
  <c r="S45" i="6"/>
  <c r="T45" i="6"/>
  <c r="L50" i="6"/>
  <c r="M50" i="6"/>
  <c r="N50" i="6"/>
  <c r="O50" i="6"/>
  <c r="P50" i="6"/>
  <c r="Q50" i="6"/>
  <c r="R50" i="6"/>
  <c r="S50" i="6"/>
  <c r="T50" i="6"/>
  <c r="L61" i="6"/>
  <c r="M61" i="6"/>
  <c r="N61" i="6"/>
  <c r="O61" i="6"/>
  <c r="P61" i="6"/>
  <c r="Q61" i="6"/>
  <c r="R61" i="6"/>
  <c r="S61" i="6"/>
  <c r="T61" i="6"/>
  <c r="M64" i="6"/>
  <c r="N64" i="6"/>
  <c r="O64" i="6"/>
  <c r="P64" i="6"/>
  <c r="Q64" i="6"/>
  <c r="R64" i="6"/>
  <c r="M73" i="6"/>
  <c r="N73" i="6"/>
  <c r="O73" i="6"/>
  <c r="P73" i="6"/>
  <c r="Q73" i="6"/>
  <c r="R73" i="6"/>
  <c r="L76" i="6"/>
  <c r="M76" i="6"/>
  <c r="N76" i="6"/>
  <c r="O76" i="6"/>
  <c r="P76" i="6"/>
  <c r="Q76" i="6"/>
  <c r="R76" i="6"/>
  <c r="T76" i="6"/>
  <c r="L84" i="6"/>
  <c r="M84" i="6"/>
  <c r="N84" i="6"/>
  <c r="O84" i="6"/>
  <c r="P84" i="6"/>
  <c r="Q84" i="6"/>
  <c r="R84" i="6"/>
  <c r="T84" i="6"/>
  <c r="L86" i="6"/>
  <c r="M86" i="6"/>
  <c r="N86" i="6"/>
  <c r="O86" i="6"/>
  <c r="P86" i="6"/>
  <c r="Q86" i="6"/>
  <c r="R86" i="6"/>
  <c r="T86" i="6"/>
  <c r="L91" i="6"/>
  <c r="M91" i="6"/>
  <c r="N91" i="6"/>
  <c r="O91" i="6"/>
  <c r="P91" i="6"/>
  <c r="Q91" i="6"/>
  <c r="R91" i="6"/>
  <c r="T91" i="6"/>
  <c r="L92" i="6"/>
  <c r="M92" i="6"/>
  <c r="N92" i="6"/>
  <c r="O92" i="6"/>
  <c r="P92" i="6"/>
  <c r="Q92" i="6"/>
  <c r="R92" i="6"/>
  <c r="S92" i="6"/>
  <c r="T92" i="6"/>
  <c r="L94" i="6"/>
  <c r="M94" i="6"/>
  <c r="N94" i="6"/>
  <c r="O94" i="6"/>
  <c r="P94" i="6"/>
  <c r="Q94" i="6"/>
  <c r="R94" i="6"/>
  <c r="S94" i="6"/>
  <c r="T94" i="6"/>
  <c r="L96" i="6"/>
  <c r="M96" i="6"/>
  <c r="N96" i="6"/>
  <c r="O96" i="6"/>
  <c r="P96" i="6"/>
  <c r="Q96" i="6"/>
  <c r="R96" i="6"/>
  <c r="S96" i="6"/>
  <c r="T96" i="6"/>
  <c r="L108" i="6"/>
  <c r="M108" i="6"/>
  <c r="N108" i="6"/>
  <c r="O108" i="6"/>
  <c r="P108" i="6"/>
  <c r="Q108" i="6"/>
  <c r="R108" i="6"/>
  <c r="S108" i="6"/>
  <c r="T108" i="6"/>
  <c r="L123" i="6"/>
  <c r="M123" i="6"/>
  <c r="N123" i="6"/>
  <c r="O123" i="6"/>
  <c r="P123" i="6"/>
  <c r="Q123" i="6"/>
  <c r="R123" i="6"/>
  <c r="S123" i="6"/>
  <c r="T123" i="6"/>
  <c r="L146" i="6"/>
  <c r="T146" i="6"/>
  <c r="M147" i="6"/>
  <c r="N147" i="6"/>
  <c r="O147" i="6"/>
  <c r="P147" i="6"/>
  <c r="Q147" i="6"/>
  <c r="R147" i="6"/>
  <c r="L148" i="6"/>
  <c r="M148" i="6"/>
  <c r="N148" i="6"/>
  <c r="O148" i="6"/>
  <c r="P148" i="6"/>
  <c r="Q148" i="6"/>
  <c r="R148" i="6"/>
  <c r="T148" i="6"/>
  <c r="L149" i="6"/>
  <c r="M149" i="6"/>
  <c r="N149" i="6"/>
  <c r="O149" i="6"/>
  <c r="P149" i="6"/>
  <c r="Q149" i="6"/>
  <c r="R149" i="6"/>
  <c r="T149" i="6"/>
  <c r="L151" i="6"/>
  <c r="M151" i="6"/>
  <c r="N151" i="6"/>
  <c r="O151" i="6"/>
  <c r="P151" i="6"/>
  <c r="Q151" i="6"/>
  <c r="R151" i="6"/>
  <c r="T151" i="6"/>
  <c r="L155" i="6"/>
  <c r="M155" i="6"/>
  <c r="N155" i="6"/>
  <c r="O155" i="6"/>
  <c r="P155" i="6"/>
  <c r="Q155" i="6"/>
  <c r="R155" i="6"/>
  <c r="S155" i="6"/>
  <c r="T155" i="6"/>
  <c r="M157" i="6"/>
  <c r="N157" i="6"/>
  <c r="O157" i="6"/>
  <c r="P157" i="6"/>
  <c r="Q157" i="6"/>
  <c r="R157" i="6"/>
  <c r="T157" i="6"/>
  <c r="L158" i="6"/>
  <c r="M158" i="6"/>
  <c r="N158" i="6"/>
  <c r="O158" i="6"/>
  <c r="P158" i="6"/>
  <c r="Q158" i="6"/>
  <c r="R158" i="6"/>
  <c r="S158" i="6"/>
  <c r="T158" i="6"/>
  <c r="L159" i="6"/>
  <c r="M159" i="6"/>
  <c r="N159" i="6"/>
  <c r="O159" i="6"/>
  <c r="P159" i="6"/>
  <c r="Q159" i="6"/>
  <c r="R159" i="6"/>
  <c r="S159" i="6"/>
  <c r="T159" i="6"/>
  <c r="L224" i="6"/>
  <c r="M224" i="6"/>
  <c r="N224" i="6"/>
  <c r="O224" i="6"/>
  <c r="P224" i="6"/>
  <c r="Q224" i="6"/>
  <c r="R224" i="6"/>
  <c r="S224" i="6"/>
  <c r="T224" i="6"/>
  <c r="L226" i="6"/>
  <c r="M226" i="6"/>
  <c r="N226" i="6"/>
  <c r="O226" i="6"/>
  <c r="P226" i="6"/>
  <c r="Q226" i="6"/>
  <c r="R226" i="6"/>
  <c r="L427" i="6"/>
  <c r="M427" i="6"/>
  <c r="N427" i="6"/>
  <c r="O427" i="6"/>
  <c r="P427" i="6"/>
  <c r="Q427" i="6"/>
  <c r="R427" i="6"/>
  <c r="T427" i="6"/>
  <c r="L428" i="6"/>
  <c r="M428" i="6"/>
  <c r="N428" i="6"/>
  <c r="O428" i="6"/>
  <c r="P428" i="6"/>
  <c r="Q428" i="6"/>
  <c r="R428" i="6"/>
  <c r="T428" i="6"/>
  <c r="L432" i="6"/>
  <c r="M432" i="6"/>
  <c r="N432" i="6"/>
  <c r="O432" i="6"/>
  <c r="P432" i="6"/>
  <c r="Q432" i="6"/>
  <c r="R432" i="6"/>
  <c r="T432" i="6"/>
  <c r="N435" i="6"/>
  <c r="O435" i="6"/>
  <c r="P435" i="6"/>
  <c r="Q435" i="6"/>
  <c r="R435" i="6"/>
  <c r="M436" i="6"/>
  <c r="N436" i="6"/>
  <c r="O436" i="6"/>
  <c r="P436" i="6"/>
  <c r="Q436" i="6"/>
  <c r="R436" i="6"/>
  <c r="M437" i="6"/>
  <c r="N437" i="6"/>
  <c r="O437" i="6"/>
  <c r="P437" i="6"/>
  <c r="Q437" i="6"/>
  <c r="R437" i="6"/>
  <c r="M439" i="6"/>
  <c r="N439" i="6"/>
  <c r="O439" i="6"/>
  <c r="P439" i="6"/>
  <c r="Q439" i="6"/>
  <c r="R439" i="6"/>
  <c r="M442" i="6"/>
  <c r="N442" i="6"/>
  <c r="O442" i="6"/>
  <c r="P442" i="6"/>
  <c r="Q442" i="6"/>
  <c r="R442" i="6"/>
  <c r="N445" i="6"/>
  <c r="O445" i="6"/>
  <c r="P445" i="6"/>
  <c r="Q445" i="6"/>
  <c r="R445" i="6"/>
  <c r="M446" i="6"/>
  <c r="N446" i="6"/>
  <c r="O446" i="6"/>
  <c r="P446" i="6"/>
  <c r="Q446" i="6"/>
  <c r="R446" i="6"/>
  <c r="M447" i="6"/>
  <c r="N447" i="6"/>
  <c r="O447" i="6"/>
  <c r="P447" i="6"/>
  <c r="Q447" i="6"/>
  <c r="R447" i="6"/>
  <c r="M450" i="6"/>
  <c r="N450" i="6"/>
  <c r="O450" i="6"/>
  <c r="P450" i="6"/>
  <c r="Q450" i="6"/>
  <c r="R450" i="6"/>
  <c r="L452" i="6"/>
  <c r="M452" i="6"/>
  <c r="N452" i="6"/>
  <c r="O452" i="6"/>
  <c r="P452" i="6"/>
  <c r="Q452" i="6"/>
  <c r="R452" i="6"/>
  <c r="T452" i="6"/>
  <c r="L463" i="6"/>
  <c r="M463" i="6"/>
  <c r="N463" i="6"/>
  <c r="O463" i="6"/>
  <c r="P463" i="6"/>
  <c r="Q463" i="6"/>
  <c r="R463" i="6"/>
  <c r="S463" i="6"/>
  <c r="T463" i="6"/>
  <c r="L467" i="6"/>
  <c r="M467" i="6"/>
  <c r="N467" i="6"/>
  <c r="O467" i="6"/>
  <c r="P467" i="6"/>
  <c r="Q467" i="6"/>
  <c r="R467" i="6"/>
  <c r="T467" i="6"/>
  <c r="L468" i="6"/>
  <c r="M468" i="6"/>
  <c r="N468" i="6"/>
  <c r="O468" i="6"/>
  <c r="P468" i="6"/>
  <c r="Q468" i="6"/>
  <c r="R468" i="6"/>
  <c r="T468" i="6"/>
  <c r="L469" i="6"/>
  <c r="M469" i="6"/>
  <c r="N469" i="6"/>
  <c r="O469" i="6"/>
  <c r="P469" i="6"/>
  <c r="Q469" i="6"/>
  <c r="R469" i="6"/>
  <c r="T469" i="6"/>
  <c r="L470" i="6"/>
  <c r="M470" i="6"/>
  <c r="N470" i="6"/>
  <c r="O470" i="6"/>
  <c r="P470" i="6"/>
  <c r="Q470" i="6"/>
  <c r="R470" i="6"/>
  <c r="T470" i="6"/>
  <c r="M472" i="6"/>
  <c r="N472" i="6"/>
  <c r="O472" i="6"/>
  <c r="P472" i="6"/>
  <c r="Q472" i="6"/>
  <c r="R472" i="6"/>
  <c r="L474" i="6"/>
  <c r="M474" i="6"/>
  <c r="N474" i="6"/>
  <c r="O474" i="6"/>
  <c r="P474" i="6"/>
  <c r="Q474" i="6"/>
  <c r="R474" i="6"/>
  <c r="T474" i="6"/>
  <c r="L475" i="6"/>
  <c r="M475" i="6"/>
  <c r="N475" i="6"/>
  <c r="O475" i="6"/>
  <c r="P475" i="6"/>
  <c r="Q475" i="6"/>
  <c r="R475" i="6"/>
  <c r="T475" i="6"/>
  <c r="L477" i="6"/>
  <c r="M477" i="6"/>
  <c r="N477" i="6"/>
  <c r="O477" i="6"/>
  <c r="P477" i="6"/>
  <c r="Q477" i="6"/>
  <c r="R477" i="6"/>
  <c r="T477" i="6"/>
  <c r="L478" i="6"/>
  <c r="M478" i="6"/>
  <c r="N478" i="6"/>
  <c r="O478" i="6"/>
  <c r="P478" i="6"/>
  <c r="Q478" i="6"/>
  <c r="R478" i="6"/>
  <c r="T478" i="6"/>
  <c r="L482" i="6"/>
  <c r="M482" i="6"/>
  <c r="N482" i="6"/>
  <c r="O482" i="6"/>
  <c r="P482" i="6"/>
  <c r="Q482" i="6"/>
  <c r="R482" i="6"/>
  <c r="T482" i="6"/>
  <c r="L483" i="6"/>
  <c r="M483" i="6"/>
  <c r="N483" i="6"/>
  <c r="O483" i="6"/>
  <c r="P483" i="6"/>
  <c r="Q483" i="6"/>
  <c r="R483" i="6"/>
  <c r="T483" i="6"/>
  <c r="L484" i="6"/>
  <c r="M484" i="6"/>
  <c r="N484" i="6"/>
  <c r="O484" i="6"/>
  <c r="P484" i="6"/>
  <c r="Q484" i="6"/>
  <c r="R484" i="6"/>
  <c r="T484" i="6"/>
  <c r="L485" i="6"/>
  <c r="M485" i="6"/>
  <c r="N485" i="6"/>
  <c r="O485" i="6"/>
  <c r="P485" i="6"/>
  <c r="Q485" i="6"/>
  <c r="R485" i="6"/>
  <c r="T485" i="6"/>
  <c r="M487" i="6"/>
  <c r="N487" i="6"/>
  <c r="O487" i="6"/>
  <c r="P487" i="6"/>
  <c r="Q487" i="6"/>
  <c r="R487" i="6"/>
  <c r="L489" i="6"/>
  <c r="M489" i="6"/>
  <c r="N489" i="6"/>
  <c r="O489" i="6"/>
  <c r="P489" i="6"/>
  <c r="Q489" i="6"/>
  <c r="R489" i="6"/>
  <c r="T489" i="6"/>
  <c r="L490" i="6"/>
  <c r="M490" i="6"/>
  <c r="N490" i="6"/>
  <c r="O490" i="6"/>
  <c r="P490" i="6"/>
  <c r="Q490" i="6"/>
  <c r="R490" i="6"/>
  <c r="T490" i="6"/>
  <c r="L492" i="6"/>
  <c r="M492" i="6"/>
  <c r="N492" i="6"/>
  <c r="O492" i="6"/>
  <c r="P492" i="6"/>
  <c r="Q492" i="6"/>
  <c r="R492" i="6"/>
  <c r="T492" i="6"/>
  <c r="L493" i="6"/>
  <c r="M493" i="6"/>
  <c r="N493" i="6"/>
  <c r="O493" i="6"/>
  <c r="P493" i="6"/>
  <c r="Q493" i="6"/>
  <c r="R493" i="6"/>
  <c r="T493" i="6"/>
  <c r="M496" i="6"/>
  <c r="N496" i="6"/>
  <c r="O496" i="6"/>
  <c r="P496" i="6"/>
  <c r="Q496" i="6"/>
  <c r="R496" i="6"/>
  <c r="L497" i="6"/>
  <c r="M497" i="6"/>
  <c r="N497" i="6"/>
  <c r="O497" i="6"/>
  <c r="P497" i="6"/>
  <c r="Q497" i="6"/>
  <c r="R497" i="6"/>
  <c r="T497" i="6"/>
  <c r="L498" i="6"/>
  <c r="M498" i="6"/>
  <c r="N498" i="6"/>
  <c r="O498" i="6"/>
  <c r="P498" i="6"/>
  <c r="Q498" i="6"/>
  <c r="R498" i="6"/>
  <c r="T498" i="6"/>
  <c r="L501" i="6"/>
  <c r="M501" i="6"/>
  <c r="N501" i="6"/>
  <c r="O501" i="6"/>
  <c r="P501" i="6"/>
  <c r="Q501" i="6"/>
  <c r="R501" i="6"/>
  <c r="T501" i="6"/>
  <c r="L503" i="6"/>
  <c r="M503" i="6"/>
  <c r="N503" i="6"/>
  <c r="O503" i="6"/>
  <c r="P503" i="6"/>
  <c r="Q503" i="6"/>
  <c r="R503" i="6"/>
  <c r="T503" i="6"/>
  <c r="L510" i="6"/>
  <c r="M510" i="6"/>
  <c r="N510" i="6"/>
  <c r="O510" i="6"/>
  <c r="P510" i="6"/>
  <c r="Q510" i="6"/>
  <c r="R510" i="6"/>
  <c r="T510" i="6"/>
  <c r="L511" i="6"/>
  <c r="M511" i="6"/>
  <c r="N511" i="6"/>
  <c r="O511" i="6"/>
  <c r="P511" i="6"/>
  <c r="Q511" i="6"/>
  <c r="R511" i="6"/>
  <c r="T511" i="6"/>
  <c r="L512" i="6"/>
  <c r="M512" i="6"/>
  <c r="N512" i="6"/>
  <c r="O512" i="6"/>
  <c r="P512" i="6"/>
  <c r="Q512" i="6"/>
  <c r="R512" i="6"/>
  <c r="T512" i="6"/>
  <c r="L514" i="6"/>
  <c r="M514" i="6"/>
  <c r="N514" i="6"/>
  <c r="O514" i="6"/>
  <c r="P514" i="6"/>
  <c r="Q514" i="6"/>
  <c r="R514" i="6"/>
  <c r="T514" i="6"/>
  <c r="L516" i="6"/>
  <c r="M516" i="6"/>
  <c r="N516" i="6"/>
  <c r="O516" i="6"/>
  <c r="P516" i="6"/>
  <c r="Q516" i="6"/>
  <c r="R516" i="6"/>
  <c r="T516" i="6"/>
  <c r="L517" i="6"/>
  <c r="M517" i="6"/>
  <c r="N517" i="6"/>
  <c r="O517" i="6"/>
  <c r="P517" i="6"/>
  <c r="Q517" i="6"/>
  <c r="R517" i="6"/>
  <c r="T517" i="6"/>
  <c r="L518" i="6"/>
  <c r="M518" i="6"/>
  <c r="N518" i="6"/>
  <c r="O518" i="6"/>
  <c r="P518" i="6"/>
  <c r="Q518" i="6"/>
  <c r="R518" i="6"/>
  <c r="T518" i="6"/>
  <c r="L519" i="6"/>
  <c r="M519" i="6"/>
  <c r="N519" i="6"/>
  <c r="O519" i="6"/>
  <c r="P519" i="6"/>
  <c r="Q519" i="6"/>
  <c r="R519" i="6"/>
  <c r="T519" i="6"/>
  <c r="L521" i="6"/>
  <c r="M521" i="6"/>
  <c r="N521" i="6"/>
  <c r="O521" i="6"/>
  <c r="P521" i="6"/>
  <c r="Q521" i="6"/>
  <c r="R521" i="6"/>
  <c r="T521" i="6"/>
  <c r="L524" i="6"/>
  <c r="M524" i="6"/>
  <c r="N524" i="6"/>
  <c r="O524" i="6"/>
  <c r="P524" i="6"/>
  <c r="Q524" i="6"/>
  <c r="R524" i="6"/>
  <c r="T524" i="6"/>
  <c r="L525" i="6"/>
  <c r="M525" i="6"/>
  <c r="N525" i="6"/>
  <c r="O525" i="6"/>
  <c r="P525" i="6"/>
  <c r="Q525" i="6"/>
  <c r="R525" i="6"/>
  <c r="T525" i="6"/>
  <c r="L526" i="6"/>
  <c r="M526" i="6"/>
  <c r="N526" i="6"/>
  <c r="O526" i="6"/>
  <c r="P526" i="6"/>
  <c r="Q526" i="6"/>
  <c r="R526" i="6"/>
  <c r="T526" i="6"/>
  <c r="L528" i="6"/>
  <c r="M528" i="6"/>
  <c r="N528" i="6"/>
  <c r="O528" i="6"/>
  <c r="P528" i="6"/>
  <c r="Q528" i="6"/>
  <c r="R528" i="6"/>
  <c r="T528" i="6"/>
  <c r="L530" i="6"/>
  <c r="M530" i="6"/>
  <c r="N530" i="6"/>
  <c r="O530" i="6"/>
  <c r="P530" i="6"/>
  <c r="Q530" i="6"/>
  <c r="R530" i="6"/>
  <c r="T530" i="6"/>
  <c r="L531" i="6"/>
  <c r="M531" i="6"/>
  <c r="N531" i="6"/>
  <c r="O531" i="6"/>
  <c r="P531" i="6"/>
  <c r="Q531" i="6"/>
  <c r="R531" i="6"/>
  <c r="T531" i="6"/>
  <c r="L532" i="6"/>
  <c r="M532" i="6"/>
  <c r="N532" i="6"/>
  <c r="O532" i="6"/>
  <c r="P532" i="6"/>
  <c r="Q532" i="6"/>
  <c r="R532" i="6"/>
  <c r="T532" i="6"/>
  <c r="L533" i="6"/>
  <c r="M533" i="6"/>
  <c r="N533" i="6"/>
  <c r="O533" i="6"/>
  <c r="P533" i="6"/>
  <c r="Q533" i="6"/>
  <c r="R533" i="6"/>
  <c r="T533" i="6"/>
  <c r="M535" i="6"/>
  <c r="N535" i="6"/>
  <c r="O535" i="6"/>
  <c r="P535" i="6"/>
  <c r="Q535" i="6"/>
  <c r="R535" i="6"/>
  <c r="M547" i="6"/>
  <c r="N547" i="6"/>
  <c r="O547" i="6"/>
  <c r="P547" i="6"/>
  <c r="Q547" i="6"/>
  <c r="R547" i="6"/>
  <c r="L548" i="6"/>
  <c r="M548" i="6"/>
  <c r="N548" i="6"/>
  <c r="O548" i="6"/>
  <c r="P548" i="6"/>
  <c r="Q548" i="6"/>
  <c r="R548" i="6"/>
  <c r="T548" i="6"/>
  <c r="L549" i="6"/>
  <c r="M549" i="6"/>
  <c r="N549" i="6"/>
  <c r="O549" i="6"/>
  <c r="P549" i="6"/>
  <c r="Q549" i="6"/>
  <c r="R549" i="6"/>
  <c r="T549" i="6"/>
  <c r="L550" i="6"/>
  <c r="M550" i="6"/>
  <c r="N550" i="6"/>
  <c r="O550" i="6"/>
  <c r="P550" i="6"/>
  <c r="Q550" i="6"/>
  <c r="R550" i="6"/>
  <c r="T550" i="6"/>
  <c r="M554" i="6"/>
  <c r="N554" i="6"/>
  <c r="O554" i="6"/>
  <c r="P554" i="6"/>
  <c r="Q554" i="6"/>
  <c r="R554" i="6"/>
  <c r="L555" i="6"/>
  <c r="M555" i="6"/>
  <c r="N555" i="6"/>
  <c r="O555" i="6"/>
  <c r="P555" i="6"/>
  <c r="Q555" i="6"/>
  <c r="R555" i="6"/>
  <c r="T555" i="6"/>
  <c r="L556" i="6"/>
  <c r="M556" i="6"/>
  <c r="N556" i="6"/>
  <c r="O556" i="6"/>
  <c r="P556" i="6"/>
  <c r="Q556" i="6"/>
  <c r="R556" i="6"/>
  <c r="T556" i="6"/>
  <c r="L557" i="6"/>
  <c r="M557" i="6"/>
  <c r="N557" i="6"/>
  <c r="O557" i="6"/>
  <c r="P557" i="6"/>
  <c r="Q557" i="6"/>
  <c r="R557" i="6"/>
  <c r="T557" i="6"/>
  <c r="M561" i="6"/>
  <c r="N561" i="6"/>
  <c r="O561" i="6"/>
  <c r="P561" i="6"/>
  <c r="Q561" i="6"/>
  <c r="R561" i="6"/>
  <c r="L562" i="6"/>
  <c r="M562" i="6"/>
  <c r="N562" i="6"/>
  <c r="O562" i="6"/>
  <c r="P562" i="6"/>
  <c r="Q562" i="6"/>
  <c r="R562" i="6"/>
  <c r="T562" i="6"/>
  <c r="L563" i="6"/>
  <c r="M563" i="6"/>
  <c r="N563" i="6"/>
  <c r="O563" i="6"/>
  <c r="P563" i="6"/>
  <c r="Q563" i="6"/>
  <c r="R563" i="6"/>
  <c r="T563" i="6"/>
  <c r="L564" i="6"/>
  <c r="M564" i="6"/>
  <c r="N564" i="6"/>
  <c r="O564" i="6"/>
  <c r="P564" i="6"/>
  <c r="Q564" i="6"/>
  <c r="R564" i="6"/>
  <c r="T564" i="6"/>
  <c r="M568" i="6"/>
  <c r="N568" i="6"/>
  <c r="O568" i="6"/>
  <c r="P568" i="6"/>
  <c r="Q568" i="6"/>
  <c r="R568" i="6"/>
  <c r="L569" i="6"/>
  <c r="M569" i="6"/>
  <c r="N569" i="6"/>
  <c r="O569" i="6"/>
  <c r="P569" i="6"/>
  <c r="Q569" i="6"/>
  <c r="R569" i="6"/>
  <c r="T569" i="6"/>
  <c r="L570" i="6"/>
  <c r="M570" i="6"/>
  <c r="N570" i="6"/>
  <c r="O570" i="6"/>
  <c r="P570" i="6"/>
  <c r="Q570" i="6"/>
  <c r="R570" i="6"/>
  <c r="T570" i="6"/>
  <c r="L571" i="6"/>
  <c r="M571" i="6"/>
  <c r="N571" i="6"/>
  <c r="O571" i="6"/>
  <c r="P571" i="6"/>
  <c r="Q571" i="6"/>
  <c r="R571" i="6"/>
  <c r="T571" i="6"/>
  <c r="M582" i="6"/>
  <c r="N582" i="6"/>
  <c r="O582" i="6"/>
  <c r="P582" i="6"/>
  <c r="Q582" i="6"/>
  <c r="R582" i="6"/>
  <c r="L584" i="6"/>
  <c r="T584" i="6"/>
  <c r="L586" i="6"/>
  <c r="M586" i="6"/>
  <c r="N586" i="6"/>
  <c r="O586" i="6"/>
  <c r="P586" i="6"/>
  <c r="Q586" i="6"/>
  <c r="R586" i="6"/>
  <c r="T586" i="6"/>
  <c r="M589" i="6"/>
  <c r="N589" i="6"/>
  <c r="O589" i="6"/>
  <c r="P589" i="6"/>
  <c r="Q589" i="6"/>
  <c r="R589" i="6"/>
  <c r="T589" i="6"/>
  <c r="L590" i="6"/>
  <c r="M590" i="6"/>
  <c r="N590" i="6"/>
  <c r="O590" i="6"/>
  <c r="P590" i="6"/>
  <c r="Q590" i="6"/>
  <c r="R590" i="6"/>
  <c r="S590" i="6"/>
  <c r="T590" i="6"/>
  <c r="L592" i="6"/>
  <c r="M592" i="6"/>
  <c r="N592" i="6"/>
  <c r="O592" i="6"/>
  <c r="P592" i="6"/>
  <c r="Q592" i="6"/>
  <c r="R592" i="6"/>
  <c r="S592" i="6"/>
  <c r="T592" i="6"/>
  <c r="L602" i="6"/>
  <c r="M602" i="6"/>
  <c r="N602" i="6"/>
  <c r="O602" i="6"/>
  <c r="P602" i="6"/>
  <c r="Q602" i="6"/>
  <c r="R602" i="6"/>
  <c r="L603" i="6"/>
  <c r="M603" i="6"/>
  <c r="N603" i="6"/>
  <c r="O603" i="6"/>
  <c r="P603" i="6"/>
  <c r="Q603" i="6"/>
  <c r="R603" i="6"/>
  <c r="L606" i="6"/>
  <c r="M606" i="6"/>
  <c r="N606" i="6"/>
  <c r="O606" i="6"/>
  <c r="P606" i="6"/>
  <c r="Q606" i="6"/>
  <c r="R606" i="6"/>
  <c r="L607" i="6"/>
  <c r="M607" i="6"/>
  <c r="N607" i="6"/>
  <c r="O607" i="6"/>
  <c r="P607" i="6"/>
  <c r="Q607" i="6"/>
  <c r="R607" i="6"/>
  <c r="L608" i="6"/>
  <c r="M608" i="6"/>
  <c r="N608" i="6"/>
  <c r="O608" i="6"/>
  <c r="P608" i="6"/>
  <c r="Q608" i="6"/>
  <c r="R608" i="6"/>
  <c r="L611" i="6"/>
  <c r="M611" i="6"/>
  <c r="N611" i="6"/>
  <c r="O611" i="6"/>
  <c r="P611" i="6"/>
  <c r="Q611" i="6"/>
  <c r="R611" i="6"/>
  <c r="L612" i="6"/>
  <c r="M612" i="6"/>
  <c r="N612" i="6"/>
  <c r="O612" i="6"/>
  <c r="P612" i="6"/>
  <c r="Q612" i="6"/>
  <c r="R612" i="6"/>
  <c r="L613" i="6"/>
  <c r="M613" i="6"/>
  <c r="N613" i="6"/>
  <c r="O613" i="6"/>
  <c r="P613" i="6"/>
  <c r="Q613" i="6"/>
  <c r="R613" i="6"/>
  <c r="K619" i="6"/>
  <c r="R619" i="6"/>
  <c r="K620" i="6"/>
  <c r="Q620" i="6"/>
  <c r="K621" i="6"/>
  <c r="P621" i="6"/>
  <c r="K622" i="6"/>
  <c r="O622" i="6"/>
  <c r="K623" i="6"/>
  <c r="N623" i="6"/>
  <c r="K624" i="6"/>
  <c r="M624" i="6"/>
  <c r="K625" i="6"/>
  <c r="L625" i="6"/>
  <c r="L628" i="6"/>
  <c r="M628" i="6"/>
  <c r="L629" i="6"/>
  <c r="M629" i="6"/>
  <c r="L630" i="6"/>
  <c r="M630" i="6"/>
  <c r="L631" i="6"/>
  <c r="M631" i="6"/>
  <c r="L632" i="6"/>
  <c r="M632" i="6"/>
  <c r="L633" i="6"/>
  <c r="M633" i="6"/>
  <c r="L634" i="6"/>
  <c r="M634" i="6"/>
  <c r="C6" i="8"/>
  <c r="G6" i="8"/>
  <c r="H6" i="8"/>
  <c r="C7" i="8"/>
  <c r="G7" i="8"/>
  <c r="G8" i="8"/>
  <c r="C9" i="8"/>
  <c r="G9" i="8"/>
  <c r="O9" i="8"/>
  <c r="G10" i="8"/>
  <c r="H10" i="8"/>
  <c r="O10" i="8"/>
  <c r="G11" i="8"/>
  <c r="H11" i="8"/>
  <c r="C13" i="8"/>
  <c r="G14" i="8"/>
  <c r="H14" i="8"/>
  <c r="G15" i="8"/>
  <c r="G16" i="8"/>
  <c r="H16" i="8"/>
  <c r="C18" i="8"/>
  <c r="C23" i="8"/>
  <c r="O28" i="8"/>
  <c r="O29" i="8"/>
  <c r="C30" i="8"/>
  <c r="C31" i="8"/>
  <c r="G34" i="8"/>
  <c r="G37" i="8"/>
  <c r="E47" i="8"/>
  <c r="F47" i="8"/>
  <c r="F48" i="8"/>
  <c r="F49" i="8"/>
  <c r="F50" i="8"/>
  <c r="E51" i="8"/>
  <c r="F51" i="8"/>
  <c r="E52" i="8"/>
  <c r="F52"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Siddharth Srikanth</author>
  </authors>
  <commentList>
    <comment ref="A1" authorId="0" shapeId="0" xr:uid="{36C56898-77F9-473D-A7B9-7685C5135B10}">
      <text>
        <r>
          <rPr>
            <b/>
            <sz val="9"/>
            <color indexed="81"/>
            <rFont val="Tahoma"/>
            <family val="2"/>
          </rPr>
          <t>Siddharth Srikanth:</t>
        </r>
        <r>
          <rPr>
            <sz val="9"/>
            <color indexed="81"/>
            <rFont val="Tahoma"/>
            <family val="2"/>
          </rPr>
          <t xml:space="preserve">
Model is highly fragile 
Please keep iterative calculations on and that you save a copy before editing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Siddharth Srikanth</author>
    <author>Microsoft Office User</author>
    <author>Srikanth,S (ug)</author>
  </authors>
  <commentList>
    <comment ref="E5" authorId="0" shapeId="0" xr:uid="{AE52B072-E34C-4595-B686-CC1B2A00559B}">
      <text>
        <r>
          <rPr>
            <b/>
            <sz val="9"/>
            <color indexed="81"/>
            <rFont val="Tahoma"/>
            <family val="2"/>
          </rPr>
          <t>Siddharth Srikanth:</t>
        </r>
        <r>
          <rPr>
            <sz val="9"/>
            <color indexed="81"/>
            <rFont val="Tahoma"/>
            <family val="2"/>
          </rPr>
          <t xml:space="preserve">
No Management Rollover since 100% stake was acquired </t>
        </r>
      </text>
    </comment>
    <comment ref="H6" authorId="0" shapeId="0" xr:uid="{ADDB1BA6-01A5-47EA-98C9-CEB1891B678D}">
      <text>
        <r>
          <rPr>
            <b/>
            <sz val="9"/>
            <color indexed="81"/>
            <rFont val="Tahoma"/>
            <family val="2"/>
          </rPr>
          <t>Siddharth Srikanth:</t>
        </r>
        <r>
          <rPr>
            <sz val="9"/>
            <color indexed="81"/>
            <rFont val="Tahoma"/>
            <family val="2"/>
          </rPr>
          <t xml:space="preserve">
Max Function is used to account for the case where CCE &lt; Minimum Cash Balance and it doesn’t make sense to take a negative balance</t>
        </r>
      </text>
    </comment>
    <comment ref="H7" authorId="1" shapeId="0" xr:uid="{E16E26F4-F328-F24B-B766-6819409C9F82}">
      <text>
        <r>
          <rPr>
            <b/>
            <sz val="10"/>
            <color rgb="FF000000"/>
            <rFont val="Tahoma"/>
            <family val="2"/>
          </rPr>
          <t>Aditi Anand:</t>
        </r>
        <r>
          <rPr>
            <sz val="10"/>
            <color rgb="FF000000"/>
            <rFont val="Tahoma"/>
            <family val="2"/>
          </rPr>
          <t xml:space="preserve">
</t>
        </r>
        <r>
          <rPr>
            <sz val="10"/>
            <color rgb="FF000000"/>
            <rFont val="Tahoma"/>
            <family val="2"/>
          </rPr>
          <t xml:space="preserve">
</t>
        </r>
        <r>
          <rPr>
            <sz val="10"/>
            <color rgb="FF000000"/>
            <rFont val="Tahoma"/>
            <family val="2"/>
          </rPr>
          <t xml:space="preserve">Max Draw Limit on Closing Date = $50m
</t>
        </r>
        <r>
          <rPr>
            <sz val="10"/>
            <color rgb="FF000000"/>
            <rFont val="Tahoma"/>
            <family val="2"/>
          </rPr>
          <t xml:space="preserve">
</t>
        </r>
        <r>
          <rPr>
            <sz val="10"/>
            <color rgb="FF000000"/>
            <rFont val="Tahoma"/>
            <family val="2"/>
          </rPr>
          <t xml:space="preserve">Max Draw Limit Post-Closing Date = $250m
</t>
        </r>
        <r>
          <rPr>
            <sz val="10"/>
            <color rgb="FF000000"/>
            <rFont val="Tahoma"/>
            <family val="2"/>
          </rPr>
          <t xml:space="preserve">
</t>
        </r>
        <r>
          <rPr>
            <sz val="10"/>
            <color rgb="FF000000"/>
            <rFont val="Tahoma"/>
            <family val="2"/>
          </rPr>
          <t xml:space="preserve">
</t>
        </r>
        <r>
          <rPr>
            <sz val="10"/>
            <color rgb="FF000000"/>
            <rFont val="Tahoma"/>
            <family val="2"/>
          </rPr>
          <t>Commitment Letter B-13</t>
        </r>
      </text>
    </comment>
    <comment ref="K7" authorId="2" shapeId="0" xr:uid="{7112736A-D5F3-460F-AA00-0ED04294286B}">
      <text>
        <r>
          <rPr>
            <b/>
            <sz val="9"/>
            <color indexed="81"/>
            <rFont val="Tahoma"/>
            <family val="2"/>
          </rPr>
          <t>Srikanth,S (ug):</t>
        </r>
        <r>
          <rPr>
            <sz val="9"/>
            <color indexed="81"/>
            <rFont val="Tahoma"/>
            <family val="2"/>
          </rPr>
          <t xml:space="preserve">
Does not make sense to refinance oeprating leases (short-term)</t>
        </r>
      </text>
    </comment>
    <comment ref="B8" authorId="0" shapeId="0" xr:uid="{7861E5A2-910A-4058-A073-17B83DE5AAD8}">
      <text>
        <r>
          <rPr>
            <b/>
            <sz val="9"/>
            <color indexed="81"/>
            <rFont val="Tahoma"/>
            <family val="2"/>
          </rPr>
          <t>Siddharth Srikanth:</t>
        </r>
        <r>
          <rPr>
            <sz val="9"/>
            <color indexed="81"/>
            <rFont val="Tahoma"/>
            <family val="2"/>
          </rPr>
          <t xml:space="preserve">
LTM EBITDA
Source: CapIQ</t>
        </r>
      </text>
    </comment>
    <comment ref="K8" authorId="2" shapeId="0" xr:uid="{7C79CAA2-E955-4220-9EC0-886755944495}">
      <text>
        <r>
          <rPr>
            <b/>
            <sz val="9"/>
            <color indexed="81"/>
            <rFont val="Tahoma"/>
            <family val="2"/>
          </rPr>
          <t>Srikanth,S (ug):</t>
        </r>
        <r>
          <rPr>
            <sz val="9"/>
            <color indexed="81"/>
            <rFont val="Tahoma"/>
            <family val="2"/>
          </rPr>
          <t xml:space="preserve">
Does not make sense to refinance long-term leases</t>
        </r>
      </text>
    </comment>
    <comment ref="E9" authorId="0" shapeId="0" xr:uid="{B4E5C7AD-6AE7-473D-8405-2606515A8ADA}">
      <text>
        <r>
          <rPr>
            <b/>
            <sz val="9"/>
            <color indexed="81"/>
            <rFont val="Tahoma"/>
            <family val="2"/>
          </rPr>
          <t xml:space="preserve">Siddharth Srikanth:
</t>
        </r>
        <r>
          <rPr>
            <sz val="9"/>
            <color indexed="81"/>
            <rFont val="Tahoma"/>
            <family val="2"/>
          </rPr>
          <t xml:space="preserve">Delayed Drawn Term Loan Facility is made available up until 36 months after closing date 
Committed DDTL Facility of up to 300,000 </t>
        </r>
      </text>
    </comment>
    <comment ref="H11" authorId="2" shapeId="0" xr:uid="{70529C72-EEC3-4F7F-80C9-C8194C8B262E}">
      <text>
        <r>
          <rPr>
            <b/>
            <sz val="9"/>
            <color indexed="81"/>
            <rFont val="Tahoma"/>
            <family val="2"/>
          </rPr>
          <t>Srikanth,S (ug):</t>
        </r>
        <r>
          <rPr>
            <sz val="9"/>
            <color indexed="81"/>
            <rFont val="Tahoma"/>
            <family val="2"/>
          </rPr>
          <t xml:space="preserve">
Discrepancy with CapIQ figures given 2023FY figures were used instead of 2024Q2</t>
        </r>
      </text>
    </comment>
    <comment ref="B12" authorId="0" shapeId="0" xr:uid="{0A99D46B-4F21-40E0-99CB-B7EE563374CD}">
      <text>
        <r>
          <rPr>
            <b/>
            <sz val="9"/>
            <color indexed="81"/>
            <rFont val="Tahoma"/>
            <family val="2"/>
          </rPr>
          <t>Siddharth Srikanth:</t>
        </r>
        <r>
          <rPr>
            <sz val="9"/>
            <color indexed="81"/>
            <rFont val="Tahoma"/>
            <family val="2"/>
          </rPr>
          <t xml:space="preserve">
As of 17/10/2024 which is when the transaction officially closed.
Source: CapIQ</t>
        </r>
      </text>
    </comment>
    <comment ref="E28" authorId="0" shapeId="0" xr:uid="{700B5010-9D48-4C73-A18C-A608BB471ABD}">
      <text>
        <r>
          <rPr>
            <b/>
            <sz val="9"/>
            <color indexed="81"/>
            <rFont val="Tahoma"/>
            <family val="2"/>
          </rPr>
          <t>Siddharth Srikanth:</t>
        </r>
        <r>
          <rPr>
            <sz val="9"/>
            <color indexed="81"/>
            <rFont val="Tahoma"/>
            <family val="2"/>
          </rPr>
          <t xml:space="preserve">
https://www.permira.com/news-and-insights/announcements/permira-completes-acquisition-of-squarespace</t>
        </r>
      </text>
    </comment>
    <comment ref="B30" authorId="0" shapeId="0" xr:uid="{635DBF24-F8EA-45B8-B9B9-75329CD5582E}">
      <text>
        <r>
          <rPr>
            <b/>
            <sz val="9"/>
            <color indexed="81"/>
            <rFont val="Tahoma"/>
            <family val="2"/>
          </rPr>
          <t>Siddharth Srikanth:</t>
        </r>
        <r>
          <rPr>
            <sz val="9"/>
            <color indexed="81"/>
            <rFont val="Tahoma"/>
            <family val="2"/>
          </rPr>
          <t xml:space="preserve">
2024 Q2 Results</t>
        </r>
      </text>
    </comment>
    <comment ref="E35" authorId="2" shapeId="0" xr:uid="{5D78EFB1-F1B1-42D5-9E2B-D10B224D3B8A}">
      <text>
        <r>
          <rPr>
            <b/>
            <sz val="9"/>
            <color indexed="81"/>
            <rFont val="Tahoma"/>
            <family val="2"/>
          </rPr>
          <t>Srikanth,S (ug):</t>
        </r>
        <r>
          <rPr>
            <sz val="9"/>
            <color indexed="81"/>
            <rFont val="Tahoma"/>
            <family val="2"/>
          </rPr>
          <t xml:space="preserve">
Average of the median EV/EBITDA multiples over LTM, 2025 and 2026</t>
        </r>
      </text>
    </comment>
    <comment ref="E36" authorId="2" shapeId="0" xr:uid="{52505E53-C1AF-4B8E-B0BF-BF1BD4C731AA}">
      <text>
        <r>
          <rPr>
            <b/>
            <sz val="9"/>
            <color indexed="81"/>
            <rFont val="Tahoma"/>
            <family val="2"/>
          </rPr>
          <t>Srikanth,S (ug):</t>
        </r>
        <r>
          <rPr>
            <sz val="9"/>
            <color indexed="81"/>
            <rFont val="Tahoma"/>
            <family val="2"/>
          </rPr>
          <t xml:space="preserve">
Average of the median EV/EBITDA multiples over LTM, 2025 and 2026</t>
        </r>
      </text>
    </comment>
    <comment ref="B41" authorId="0" shapeId="0" xr:uid="{654F0069-73C8-41B2-8A15-67939F1E483B}">
      <text>
        <r>
          <rPr>
            <b/>
            <sz val="9"/>
            <color indexed="81"/>
            <rFont val="Tahoma"/>
            <family val="2"/>
          </rPr>
          <t>Siddharth Srikanth:</t>
        </r>
        <r>
          <rPr>
            <sz val="9"/>
            <color indexed="81"/>
            <rFont val="Tahoma"/>
            <family val="2"/>
          </rPr>
          <t xml:space="preserve">
Closing Share Price on May 10 which was before the intial announcement of the deal</t>
        </r>
      </text>
    </comment>
    <comment ref="E41" authorId="0" shapeId="0" xr:uid="{C49673F0-E7D9-4A31-B07D-F05A656D3738}">
      <text>
        <r>
          <rPr>
            <b/>
            <sz val="9"/>
            <color indexed="81"/>
            <rFont val="Tahoma"/>
            <family val="2"/>
          </rPr>
          <t>Siddharth Srikanth:</t>
        </r>
        <r>
          <rPr>
            <sz val="9"/>
            <color indexed="81"/>
            <rFont val="Tahoma"/>
            <family val="2"/>
          </rPr>
          <t xml:space="preserve">
2024 Q1</t>
        </r>
      </text>
    </comment>
    <comment ref="B42" authorId="2" shapeId="0" xr:uid="{EC82B1A4-B4B9-4C2A-A2F6-E5C3F28ECE63}">
      <text>
        <r>
          <rPr>
            <b/>
            <sz val="9"/>
            <color indexed="81"/>
            <rFont val="Tahoma"/>
            <family val="2"/>
          </rPr>
          <t>Srikanth,S (ug):</t>
        </r>
        <r>
          <rPr>
            <sz val="9"/>
            <color indexed="81"/>
            <rFont val="Tahoma"/>
            <family val="2"/>
          </rPr>
          <t xml:space="preserve">
Referenced Share Price Offer of 46.50 which is reflected in the press release </t>
        </r>
      </text>
    </comment>
    <comment ref="M46" authorId="0" shapeId="0" xr:uid="{A3E8B2B8-3ADB-460C-A579-C4543A409074}">
      <text>
        <r>
          <rPr>
            <b/>
            <sz val="9"/>
            <color indexed="81"/>
            <rFont val="Tahoma"/>
            <family val="2"/>
          </rPr>
          <t xml:space="preserve">Siddharth Srikanth
</t>
        </r>
        <r>
          <rPr>
            <sz val="9"/>
            <color indexed="81"/>
            <rFont val="Tahoma"/>
            <family val="2"/>
          </rPr>
          <t xml:space="preserve">
Net Leverage Ratio Financial Covenant has not been added</t>
        </r>
      </text>
    </comment>
    <comment ref="N46" authorId="2" shapeId="0" xr:uid="{9D46F209-225E-4740-8159-0261B272E0A0}">
      <text>
        <r>
          <rPr>
            <b/>
            <sz val="9"/>
            <color indexed="81"/>
            <rFont val="Tahoma"/>
            <family val="2"/>
          </rPr>
          <t>Srikanth,S (ug):</t>
        </r>
        <r>
          <rPr>
            <sz val="9"/>
            <color indexed="81"/>
            <rFont val="Tahoma"/>
            <family val="2"/>
          </rPr>
          <t xml:space="preserve">
Mandatory Cash Sweep</t>
        </r>
      </text>
    </comment>
    <comment ref="O46" authorId="0" shapeId="0" xr:uid="{9714A441-D2E4-4CA7-A797-0887852C6393}">
      <text>
        <r>
          <rPr>
            <b/>
            <sz val="9"/>
            <color indexed="81"/>
            <rFont val="Tahoma"/>
            <family val="2"/>
          </rPr>
          <t>Siddharth Srikanth:</t>
        </r>
        <r>
          <rPr>
            <sz val="9"/>
            <color indexed="81"/>
            <rFont val="Tahoma"/>
            <family val="2"/>
          </rPr>
          <t xml:space="preserve">
Only starts from Q2 2025 onwards</t>
        </r>
      </text>
    </comment>
    <comment ref="G48" authorId="0" shapeId="0" xr:uid="{0D809DB2-991C-4BB1-8076-343A1CC16DCA}">
      <text>
        <r>
          <rPr>
            <b/>
            <sz val="9"/>
            <color rgb="FF000000"/>
            <rFont val="Tahoma"/>
            <family val="2"/>
          </rPr>
          <t>Siddharth Srikanth:</t>
        </r>
        <r>
          <rPr>
            <sz val="9"/>
            <color rgb="FF000000"/>
            <rFont val="Tahoma"/>
            <family val="2"/>
          </rPr>
          <t xml:space="preserve">
</t>
        </r>
        <r>
          <rPr>
            <sz val="9"/>
            <color rgb="FF000000"/>
            <rFont val="Tahoma"/>
            <family val="2"/>
          </rPr>
          <t xml:space="preserve">
Commitment Letter Page B-13
</t>
        </r>
      </text>
    </comment>
    <comment ref="J48" authorId="2" shapeId="0" xr:uid="{3D5C5FC3-31C4-4A39-9F27-5C9085388381}">
      <text>
        <r>
          <rPr>
            <b/>
            <sz val="9"/>
            <color indexed="81"/>
            <rFont val="Tahoma"/>
            <family val="2"/>
          </rPr>
          <t>Srikanth,S (ug):</t>
        </r>
        <r>
          <rPr>
            <sz val="9"/>
            <color indexed="81"/>
            <rFont val="Tahoma"/>
            <family val="2"/>
          </rPr>
          <t xml:space="preserve">
Commitment Fee  referenced from commitment letter B-I-2
Reference undrawn amount</t>
        </r>
      </text>
    </comment>
    <comment ref="B49" authorId="2" shapeId="0" xr:uid="{C0C88EA4-4CEC-4CF7-9AA6-D1E27BB6850E}">
      <text>
        <r>
          <rPr>
            <b/>
            <sz val="9"/>
            <color indexed="81"/>
            <rFont val="Tahoma"/>
            <family val="2"/>
          </rPr>
          <t>Srikanth,S (ug):</t>
        </r>
        <r>
          <rPr>
            <sz val="9"/>
            <color indexed="81"/>
            <rFont val="Tahoma"/>
            <family val="2"/>
          </rPr>
          <t xml:space="preserve">
Amortises in quarterly installments</t>
        </r>
      </text>
    </comment>
    <comment ref="K49" authorId="2" shapeId="0" xr:uid="{77BEA74C-AC13-43AD-A973-9103C24C1328}">
      <text>
        <r>
          <rPr>
            <b/>
            <sz val="9"/>
            <color rgb="FF000000"/>
            <rFont val="Tahoma"/>
            <family val="2"/>
          </rPr>
          <t>Srikanth,S (ug):</t>
        </r>
        <r>
          <rPr>
            <sz val="9"/>
            <color rgb="FF000000"/>
            <rFont val="Tahoma"/>
            <family val="2"/>
          </rPr>
          <t xml:space="preserve">
</t>
        </r>
        <r>
          <rPr>
            <sz val="9"/>
            <color rgb="FF000000"/>
            <rFont val="Tahoma"/>
            <family val="2"/>
          </rPr>
          <t xml:space="preserve">Voluntary Repayment Fee  referenced from commitment letter B-24
</t>
        </r>
        <r>
          <rPr>
            <sz val="9"/>
            <color rgb="FF000000"/>
            <rFont val="Tahoma"/>
            <family val="2"/>
          </rPr>
          <t xml:space="preserve">
</t>
        </r>
        <r>
          <rPr>
            <sz val="9"/>
            <color rgb="FF000000"/>
            <rFont val="Tahoma"/>
            <family val="2"/>
          </rPr>
          <t>Reference amount you are prepaying</t>
        </r>
      </text>
    </comment>
    <comment ref="M49" authorId="2" shapeId="0" xr:uid="{F15179D8-E5CE-4600-9C9A-C64A3D60E33C}">
      <text>
        <r>
          <rPr>
            <b/>
            <sz val="9"/>
            <color indexed="81"/>
            <rFont val="Tahoma"/>
            <family val="2"/>
          </rPr>
          <t>Srikanth,S (ug):</t>
        </r>
        <r>
          <rPr>
            <sz val="9"/>
            <color indexed="81"/>
            <rFont val="Tahoma"/>
            <family val="2"/>
          </rPr>
          <t xml:space="preserve">
Referenced from Commitment Letter, B-24
Using extra FCF to make mandatory repayments between 0%,25%,50% based on net leverage ratios</t>
        </r>
      </text>
    </comment>
    <comment ref="B50" authorId="2" shapeId="0" xr:uid="{01CE7709-D759-4B1C-8424-451718D941B5}">
      <text>
        <r>
          <rPr>
            <b/>
            <sz val="9"/>
            <color indexed="81"/>
            <rFont val="Tahoma"/>
            <family val="2"/>
          </rPr>
          <t>Srikanth,S (ug):</t>
        </r>
        <r>
          <rPr>
            <sz val="9"/>
            <color indexed="81"/>
            <rFont val="Tahoma"/>
            <family val="2"/>
          </rPr>
          <t xml:space="preserve">
Amortised in quartlerly installments</t>
        </r>
      </text>
    </comment>
    <comment ref="J50" authorId="2" shapeId="0" xr:uid="{71D1E9D0-82D3-4E05-8674-FF9AA6EA3E27}">
      <text>
        <r>
          <rPr>
            <b/>
            <sz val="9"/>
            <color indexed="81"/>
            <rFont val="Tahoma"/>
            <family val="2"/>
          </rPr>
          <t>Srikanth,S (ug):</t>
        </r>
        <r>
          <rPr>
            <sz val="9"/>
            <color indexed="81"/>
            <rFont val="Tahoma"/>
            <family val="2"/>
          </rPr>
          <t xml:space="preserve">
Commitment Fee  referenced from commitment letter B-I-2
Reference undrawn amount</t>
        </r>
      </text>
    </comment>
    <comment ref="K50" authorId="2" shapeId="0" xr:uid="{306FF7FB-0A65-4577-80CD-7C23BB0B621D}">
      <text>
        <r>
          <rPr>
            <b/>
            <sz val="9"/>
            <color rgb="FF000000"/>
            <rFont val="Tahoma"/>
            <family val="2"/>
          </rPr>
          <t>Srikanth,S (ug):</t>
        </r>
        <r>
          <rPr>
            <sz val="9"/>
            <color rgb="FF000000"/>
            <rFont val="Tahoma"/>
            <family val="2"/>
          </rPr>
          <t xml:space="preserve">
</t>
        </r>
        <r>
          <rPr>
            <sz val="9"/>
            <color rgb="FF000000"/>
            <rFont val="Tahoma"/>
            <family val="2"/>
          </rPr>
          <t xml:space="preserve">Voluntary Repayment Fee  referenced from commitment letter B-24
</t>
        </r>
        <r>
          <rPr>
            <sz val="9"/>
            <color rgb="FF000000"/>
            <rFont val="Tahoma"/>
            <family val="2"/>
          </rPr>
          <t xml:space="preserve">
</t>
        </r>
        <r>
          <rPr>
            <sz val="9"/>
            <color rgb="FF000000"/>
            <rFont val="Tahoma"/>
            <family val="2"/>
          </rPr>
          <t>Reference amount you are prepaying</t>
        </r>
      </text>
    </comment>
    <comment ref="L50" authorId="0" shapeId="0" xr:uid="{7802DA23-F5AF-4070-99B4-CFAEE20CB64A}">
      <text>
        <r>
          <rPr>
            <b/>
            <sz val="9"/>
            <color indexed="81"/>
            <rFont val="Tahoma"/>
            <family val="2"/>
          </rPr>
          <t>Siddharth Srikanth:</t>
        </r>
        <r>
          <rPr>
            <sz val="9"/>
            <color indexed="81"/>
            <rFont val="Tahoma"/>
            <family val="2"/>
          </rPr>
          <t xml:space="preserve">
Taken from Commitment Letter, B-I-1</t>
        </r>
      </text>
    </comment>
    <comment ref="M50" authorId="2" shapeId="0" xr:uid="{EB974B6F-2A6E-4675-BE16-F1F34C34BE11}">
      <text>
        <r>
          <rPr>
            <b/>
            <sz val="9"/>
            <color indexed="81"/>
            <rFont val="Tahoma"/>
            <family val="2"/>
          </rPr>
          <t>Srikanth,S (ug):</t>
        </r>
        <r>
          <rPr>
            <sz val="9"/>
            <color indexed="81"/>
            <rFont val="Tahoma"/>
            <family val="2"/>
          </rPr>
          <t xml:space="preserve">
Referenced from Commitment Letter, B-24
Using extra FCF to make mandatory repayments between 0%,25%,50% based on net leverage ratios</t>
        </r>
      </text>
    </comment>
    <comment ref="F51" authorId="2" shapeId="0" xr:uid="{ED652F90-99A8-454A-94A8-7EFC1684EFDB}">
      <text>
        <r>
          <rPr>
            <b/>
            <sz val="9"/>
            <color indexed="81"/>
            <rFont val="Tahoma"/>
            <family val="2"/>
          </rPr>
          <t>Srikanth,S (ug):</t>
        </r>
        <r>
          <rPr>
            <sz val="9"/>
            <color indexed="81"/>
            <rFont val="Tahoma"/>
            <family val="2"/>
          </rPr>
          <t xml:space="preserve">
Has to be greater than 50% of overall amount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Siddharth Srikanth</author>
    <author>Microsoft Office User</author>
    <author>Srikanth,S (ug)</author>
    <author>Anand8,A (ug)</author>
    <author>Mateja Vuković</author>
  </authors>
  <commentList>
    <comment ref="B7" authorId="0" shapeId="0" xr:uid="{0A632313-A61F-4C48-BB7C-92DD38E1B8AC}">
      <text>
        <r>
          <rPr>
            <b/>
            <sz val="9"/>
            <color indexed="81"/>
            <rFont val="Tahoma"/>
            <family val="2"/>
          </rPr>
          <t>Siddharth Srikanth:</t>
        </r>
        <r>
          <rPr>
            <sz val="9"/>
            <color indexed="81"/>
            <rFont val="Tahoma"/>
            <family val="2"/>
          </rPr>
          <t xml:space="preserve">
Switch Manually</t>
        </r>
      </text>
    </comment>
    <comment ref="L13" authorId="1" shapeId="0" xr:uid="{49F9C7CB-B1DA-4524-9D56-362A473C3570}">
      <text>
        <r>
          <rPr>
            <b/>
            <sz val="10"/>
            <color rgb="FF000000"/>
            <rFont val="Tahoma"/>
            <family val="2"/>
          </rPr>
          <t>Aditi:</t>
        </r>
        <r>
          <rPr>
            <sz val="10"/>
            <color rgb="FF000000"/>
            <rFont val="Tahoma"/>
            <family val="2"/>
          </rPr>
          <t xml:space="preserve">
</t>
        </r>
        <r>
          <rPr>
            <sz val="10"/>
            <color rgb="FF000000"/>
            <rFont val="Tahoma"/>
            <family val="2"/>
          </rPr>
          <t>Modest pricing power allows steady increase in ACV</t>
        </r>
      </text>
    </comment>
    <comment ref="L14" authorId="1" shapeId="0" xr:uid="{5C91665F-4FED-4609-9982-0621A5493DB6}">
      <text>
        <r>
          <rPr>
            <b/>
            <sz val="10"/>
            <color rgb="FF000000"/>
            <rFont val="Tahoma"/>
            <family val="2"/>
          </rPr>
          <t>Aditi Anand:</t>
        </r>
        <r>
          <rPr>
            <sz val="10"/>
            <color rgb="FF000000"/>
            <rFont val="Tahoma"/>
            <family val="2"/>
          </rPr>
          <t xml:space="preserve">
</t>
        </r>
        <r>
          <rPr>
            <sz val="10"/>
            <color rgb="FF000000"/>
            <rFont val="Tahoma"/>
            <family val="2"/>
          </rPr>
          <t>Steady growth from optimisation, bundling in 2022</t>
        </r>
      </text>
    </comment>
    <comment ref="R14" authorId="1" shapeId="0" xr:uid="{F0F81535-B476-45FA-88F9-162F905C4064}">
      <text>
        <r>
          <rPr>
            <b/>
            <sz val="10"/>
            <color rgb="FF000000"/>
            <rFont val="Tahoma"/>
            <family val="2"/>
          </rPr>
          <t>Aditi:</t>
        </r>
        <r>
          <rPr>
            <sz val="10"/>
            <color rgb="FF000000"/>
            <rFont val="Tahoma"/>
            <family val="2"/>
          </rPr>
          <t xml:space="preserve">
</t>
        </r>
        <r>
          <rPr>
            <sz val="10"/>
            <color rgb="FF000000"/>
            <rFont val="Tahoma"/>
            <family val="2"/>
          </rPr>
          <t xml:space="preserve">Industry avg for Saas SMBs (Shopify, Hubspot)
</t>
        </r>
      </text>
    </comment>
    <comment ref="L15" authorId="1" shapeId="0" xr:uid="{C28BF30B-1BD1-419D-934C-183251283FC5}">
      <text>
        <r>
          <rPr>
            <b/>
            <sz val="10"/>
            <color rgb="FF000000"/>
            <rFont val="Tahoma"/>
            <family val="2"/>
          </rPr>
          <t>Aditi Anand:</t>
        </r>
        <r>
          <rPr>
            <sz val="10"/>
            <color rgb="FF000000"/>
            <rFont val="Tahoma"/>
            <family val="2"/>
          </rPr>
          <t xml:space="preserve">
</t>
        </r>
        <r>
          <rPr>
            <sz val="10"/>
            <color rgb="FF000000"/>
            <rFont val="Tahoma"/>
            <family val="2"/>
          </rPr>
          <t>Brief ramp-up followed by modest deceleration</t>
        </r>
      </text>
    </comment>
    <comment ref="R19" authorId="1" shapeId="0" xr:uid="{540C5C04-BB3A-46E1-8567-F89CB02546DD}">
      <text>
        <r>
          <rPr>
            <b/>
            <sz val="10"/>
            <color rgb="FF000000"/>
            <rFont val="Tahoma"/>
            <family val="2"/>
          </rPr>
          <t>Aditi Anand:</t>
        </r>
        <r>
          <rPr>
            <sz val="10"/>
            <color rgb="FF000000"/>
            <rFont val="Tahoma"/>
            <family val="2"/>
          </rPr>
          <t xml:space="preserve">
</t>
        </r>
        <r>
          <rPr>
            <sz val="10"/>
            <color rgb="FF000000"/>
            <rFont val="Tahoma"/>
            <family val="2"/>
          </rPr>
          <t xml:space="preserve">Max among comps
</t>
        </r>
      </text>
    </comment>
    <comment ref="L20" authorId="1" shapeId="0" xr:uid="{754ECA5E-873C-43A0-A543-D27A27F32492}">
      <text>
        <r>
          <rPr>
            <b/>
            <sz val="10"/>
            <color rgb="FF000000"/>
            <rFont val="Tahoma"/>
            <family val="2"/>
          </rPr>
          <t>Aditi:</t>
        </r>
        <r>
          <rPr>
            <sz val="10"/>
            <color rgb="FF000000"/>
            <rFont val="Tahoma"/>
            <family val="2"/>
          </rPr>
          <t xml:space="preserve">
</t>
        </r>
        <r>
          <rPr>
            <sz val="10"/>
            <color rgb="FF000000"/>
            <rFont val="Tahoma"/>
            <family val="2"/>
          </rPr>
          <t>3-year weighted historical avg</t>
        </r>
      </text>
    </comment>
    <comment ref="R20" authorId="1" shapeId="0" xr:uid="{943D2FD4-0BEF-41D4-AC88-27F864BFC858}">
      <text>
        <r>
          <rPr>
            <b/>
            <sz val="10"/>
            <color rgb="FF000000"/>
            <rFont val="Tahoma"/>
            <family val="2"/>
          </rPr>
          <t>Aditi Anand:</t>
        </r>
        <r>
          <rPr>
            <sz val="10"/>
            <color rgb="FF000000"/>
            <rFont val="Tahoma"/>
            <family val="2"/>
          </rPr>
          <t xml:space="preserve">
</t>
        </r>
        <r>
          <rPr>
            <sz val="10"/>
            <color rgb="FF000000"/>
            <rFont val="Tahoma"/>
            <family val="2"/>
          </rPr>
          <t>Average SMB Comps</t>
        </r>
      </text>
    </comment>
    <comment ref="L21" authorId="1" shapeId="0" xr:uid="{D1B6A1E4-C079-42A2-A30B-4C016387888D}">
      <text>
        <r>
          <rPr>
            <b/>
            <sz val="10"/>
            <color rgb="FF000000"/>
            <rFont val="Tahoma"/>
            <family val="2"/>
          </rPr>
          <t>Aditi Anand:</t>
        </r>
        <r>
          <rPr>
            <sz val="10"/>
            <color rgb="FF000000"/>
            <rFont val="Tahoma"/>
            <family val="2"/>
          </rPr>
          <t xml:space="preserve">
</t>
        </r>
        <r>
          <rPr>
            <sz val="10"/>
            <color rgb="FF000000"/>
            <rFont val="Tahoma"/>
            <family val="2"/>
          </rPr>
          <t>Robust growth in Commerce, Payments launch in 2024 followed by modest deceleration</t>
        </r>
      </text>
    </comment>
    <comment ref="L24" authorId="0" shapeId="0" xr:uid="{C3C7ED32-8032-4BD8-9892-7EA644C0F03D}">
      <text>
        <r>
          <rPr>
            <b/>
            <sz val="9"/>
            <color indexed="81"/>
            <rFont val="Tahoma"/>
            <family val="2"/>
          </rPr>
          <t>Siddharth Srikanth:</t>
        </r>
        <r>
          <rPr>
            <sz val="9"/>
            <color indexed="81"/>
            <rFont val="Tahoma"/>
            <family val="2"/>
          </rPr>
          <t xml:space="preserve">
Reference Comps </t>
        </r>
      </text>
    </comment>
    <comment ref="L31" authorId="2" shapeId="0" xr:uid="{1B9A9191-B829-4343-AE0C-26650363FB2A}">
      <text>
        <r>
          <rPr>
            <b/>
            <sz val="9"/>
            <color indexed="81"/>
            <rFont val="Tahoma"/>
            <family val="2"/>
          </rPr>
          <t>Srikanth,S (ug):</t>
        </r>
        <r>
          <rPr>
            <sz val="9"/>
            <color indexed="81"/>
            <rFont val="Tahoma"/>
            <family val="2"/>
          </rPr>
          <t xml:space="preserve">
Min value from core-comps (2024)</t>
        </r>
      </text>
    </comment>
    <comment ref="L32" authorId="0" shapeId="0" xr:uid="{FE146C11-D93E-4599-9658-E064D2A9F338}">
      <text>
        <r>
          <rPr>
            <b/>
            <sz val="9"/>
            <color indexed="81"/>
            <rFont val="Tahoma"/>
            <family val="2"/>
          </rPr>
          <t>Siddharth Srikanth:</t>
        </r>
        <r>
          <rPr>
            <sz val="9"/>
            <color indexed="81"/>
            <rFont val="Tahoma"/>
            <family val="2"/>
          </rPr>
          <t xml:space="preserve">
Average from 2024Q1 and Q2</t>
        </r>
      </text>
    </comment>
    <comment ref="R32" authorId="0" shapeId="0" xr:uid="{E1640508-C788-41D4-9A42-34B933C73356}">
      <text>
        <r>
          <rPr>
            <b/>
            <sz val="9"/>
            <color indexed="81"/>
            <rFont val="Tahoma"/>
            <family val="2"/>
          </rPr>
          <t>Siddharth Srikanth:</t>
        </r>
        <r>
          <rPr>
            <sz val="9"/>
            <color indexed="81"/>
            <rFont val="Tahoma"/>
            <family val="2"/>
          </rPr>
          <t xml:space="preserve">
5Y Historical Average</t>
        </r>
      </text>
    </comment>
    <comment ref="L36" authorId="2" shapeId="0" xr:uid="{F1E2EEBF-42BA-4F02-BB7F-2F83E2928DA7}">
      <text>
        <r>
          <rPr>
            <b/>
            <sz val="9"/>
            <color indexed="81"/>
            <rFont val="Tahoma"/>
            <family val="2"/>
          </rPr>
          <t>Srikanth,S (ug):</t>
        </r>
        <r>
          <rPr>
            <sz val="9"/>
            <color indexed="81"/>
            <rFont val="Tahoma"/>
            <family val="2"/>
          </rPr>
          <t xml:space="preserve">
Min value from core-comps (2024)</t>
        </r>
      </text>
    </comment>
    <comment ref="L37" authorId="0" shapeId="0" xr:uid="{4FCAA7D9-ECAD-4D5A-BA41-72B97CA6E820}">
      <text>
        <r>
          <rPr>
            <b/>
            <sz val="9"/>
            <color indexed="81"/>
            <rFont val="Tahoma"/>
            <family val="2"/>
          </rPr>
          <t>Siddharth Srikanth:</t>
        </r>
        <r>
          <rPr>
            <sz val="9"/>
            <color indexed="81"/>
            <rFont val="Tahoma"/>
            <family val="2"/>
          </rPr>
          <t xml:space="preserve">
Average from 2024Q1 and Q2</t>
        </r>
      </text>
    </comment>
    <comment ref="R37" authorId="0" shapeId="0" xr:uid="{7653149D-C2E0-41F8-A7DB-AFF7DC013B5A}">
      <text>
        <r>
          <rPr>
            <b/>
            <sz val="9"/>
            <color indexed="81"/>
            <rFont val="Tahoma"/>
            <family val="2"/>
          </rPr>
          <t>Siddharth Srikanth:</t>
        </r>
        <r>
          <rPr>
            <sz val="9"/>
            <color indexed="81"/>
            <rFont val="Tahoma"/>
            <family val="2"/>
          </rPr>
          <t xml:space="preserve">
Permira is expected to bring these margins down.
Furthermore, 2021-2023 show signs that Squarespace themselves have managed to bring down margins by just south of 10%</t>
        </r>
      </text>
    </comment>
    <comment ref="L38" authorId="2" shapeId="0" xr:uid="{A552154A-0BC9-4EC9-9EC1-7F68722D72C6}">
      <text>
        <r>
          <rPr>
            <b/>
            <sz val="9"/>
            <color indexed="81"/>
            <rFont val="Tahoma"/>
            <family val="2"/>
          </rPr>
          <t>Srikanth,S (ug):</t>
        </r>
        <r>
          <rPr>
            <sz val="9"/>
            <color indexed="81"/>
            <rFont val="Tahoma"/>
            <family val="2"/>
          </rPr>
          <t xml:space="preserve">
Min value from core-comps (2024)</t>
        </r>
      </text>
    </comment>
    <comment ref="L42" authorId="0" shapeId="0" xr:uid="{63A25FEC-A646-484F-A8AE-F97E28FFAC9C}">
      <text>
        <r>
          <rPr>
            <b/>
            <sz val="9"/>
            <color indexed="81"/>
            <rFont val="Tahoma"/>
            <family val="2"/>
          </rPr>
          <t>Siddharth Srikanth:</t>
        </r>
        <r>
          <rPr>
            <sz val="9"/>
            <color indexed="81"/>
            <rFont val="Tahoma"/>
            <family val="2"/>
          </rPr>
          <t xml:space="preserve">
Similar to 2023 and median value of industry average which is roughly 24-25</t>
        </r>
      </text>
    </comment>
    <comment ref="R42" authorId="0" shapeId="0" xr:uid="{D4F006DE-0E51-40C0-8218-9C8D9AFA1C67}">
      <text>
        <r>
          <rPr>
            <b/>
            <sz val="9"/>
            <color indexed="81"/>
            <rFont val="Tahoma"/>
            <family val="2"/>
          </rPr>
          <t>Siddharth Srikanth:</t>
        </r>
        <r>
          <rPr>
            <sz val="9"/>
            <color indexed="81"/>
            <rFont val="Tahoma"/>
            <family val="2"/>
          </rPr>
          <t xml:space="preserve">
Permira is expected to bring down these margins to 2019 (Pre-Covid) levels</t>
        </r>
      </text>
    </comment>
    <comment ref="L45" authorId="0" shapeId="0" xr:uid="{AAAFAE80-7429-4209-A25C-2C0165C5D58C}">
      <text>
        <r>
          <rPr>
            <b/>
            <sz val="9"/>
            <color indexed="81"/>
            <rFont val="Tahoma"/>
            <family val="2"/>
          </rPr>
          <t>Siddharth Srikanth:</t>
        </r>
        <r>
          <rPr>
            <sz val="9"/>
            <color indexed="81"/>
            <rFont val="Tahoma"/>
            <family val="2"/>
          </rPr>
          <t xml:space="preserve">
Equivalent to 5Y Historical Average</t>
        </r>
      </text>
    </comment>
    <comment ref="L47" authorId="2" shapeId="0" xr:uid="{1A740A65-E6DF-477F-A0AF-9CF33DA09AB3}">
      <text>
        <r>
          <rPr>
            <b/>
            <sz val="9"/>
            <color indexed="81"/>
            <rFont val="Tahoma"/>
            <family val="2"/>
          </rPr>
          <t xml:space="preserve">Srikanth,S (ug):
</t>
        </r>
        <r>
          <rPr>
            <sz val="9"/>
            <color indexed="81"/>
            <rFont val="Tahoma"/>
            <family val="2"/>
          </rPr>
          <t>Historical Average, considered 2023 as an anomaly</t>
        </r>
      </text>
    </comment>
    <comment ref="L51" authorId="2" shapeId="0" xr:uid="{EC21E6F3-05BB-42A3-B6A9-B2CC1F3FBEC5}">
      <text>
        <r>
          <rPr>
            <b/>
            <sz val="9"/>
            <color indexed="81"/>
            <rFont val="Tahoma"/>
            <family val="2"/>
          </rPr>
          <t>Srikanth,S (ug):</t>
        </r>
        <r>
          <rPr>
            <sz val="9"/>
            <color indexed="81"/>
            <rFont val="Tahoma"/>
            <family val="2"/>
          </rPr>
          <t xml:space="preserve">
Probably slightly  higher than historical average  to keep up with competitve nature of industry</t>
        </r>
      </text>
    </comment>
    <comment ref="B61" authorId="2" shapeId="0" xr:uid="{EAF8A741-4CFD-4E0E-BC53-541242FE1A89}">
      <text>
        <r>
          <rPr>
            <b/>
            <sz val="9"/>
            <color indexed="81"/>
            <rFont val="Tahoma"/>
            <family val="2"/>
          </rPr>
          <t>Srikanth,S (ug):</t>
        </r>
        <r>
          <rPr>
            <sz val="9"/>
            <color indexed="81"/>
            <rFont val="Tahoma"/>
            <family val="2"/>
          </rPr>
          <t xml:space="preserve">
No historical values so keep it as a low % of sales
</t>
        </r>
      </text>
    </comment>
    <comment ref="L61" authorId="0" shapeId="0" xr:uid="{70574410-06FF-4E15-B07C-82B3384686A5}">
      <text>
        <r>
          <rPr>
            <b/>
            <sz val="9"/>
            <color indexed="81"/>
            <rFont val="Tahoma"/>
            <family val="2"/>
          </rPr>
          <t>Siddharth Srikanth:</t>
        </r>
        <r>
          <rPr>
            <sz val="9"/>
            <color indexed="81"/>
            <rFont val="Tahoma"/>
            <family val="2"/>
          </rPr>
          <t xml:space="preserve">
Used Amortisation as a guideline </t>
        </r>
      </text>
    </comment>
    <comment ref="L65" authorId="2" shapeId="0" xr:uid="{1D81D9B2-A4D1-46C6-94B4-59A823DF4C8A}">
      <text>
        <r>
          <rPr>
            <b/>
            <sz val="9"/>
            <color indexed="81"/>
            <rFont val="Tahoma"/>
            <family val="2"/>
          </rPr>
          <t>Srikanth,S (ug):</t>
        </r>
        <r>
          <rPr>
            <sz val="9"/>
            <color indexed="81"/>
            <rFont val="Tahoma"/>
            <family val="2"/>
          </rPr>
          <t xml:space="preserve">
Historically, this has reduced the most yoy
Based on historical projections</t>
        </r>
      </text>
    </comment>
    <comment ref="P69" authorId="2" shapeId="0" xr:uid="{ED50AA5B-CD67-4F2C-A59D-E3EA762BB0D7}">
      <text>
        <r>
          <rPr>
            <b/>
            <sz val="9"/>
            <color indexed="81"/>
            <rFont val="Tahoma"/>
            <family val="2"/>
          </rPr>
          <t>Srikanth,S (ug):</t>
        </r>
        <r>
          <rPr>
            <sz val="9"/>
            <color indexed="81"/>
            <rFont val="Tahoma"/>
            <family val="2"/>
          </rPr>
          <t xml:space="preserve">
Assumed Constant afterwards
</t>
        </r>
      </text>
    </comment>
    <comment ref="L75" authorId="3" shapeId="0" xr:uid="{FD78AE42-F7E4-40AC-AFD8-79D9C648C2FA}">
      <text>
        <r>
          <rPr>
            <b/>
            <sz val="9"/>
            <color indexed="81"/>
            <rFont val="Tahoma"/>
            <family val="2"/>
          </rPr>
          <t>Anand8,A (ug):</t>
        </r>
        <r>
          <rPr>
            <sz val="9"/>
            <color indexed="81"/>
            <rFont val="Tahoma"/>
            <family val="2"/>
          </rPr>
          <t xml:space="preserve">
Roughly 2023 fig</t>
        </r>
      </text>
    </comment>
    <comment ref="R75" authorId="0" shapeId="0" xr:uid="{B61D414B-718C-4AFD-918C-627206CD9C98}">
      <text>
        <r>
          <rPr>
            <b/>
            <sz val="9"/>
            <color indexed="81"/>
            <rFont val="Tahoma"/>
            <family val="2"/>
          </rPr>
          <t>Siddharth Srikanth:</t>
        </r>
        <r>
          <rPr>
            <sz val="9"/>
            <color indexed="81"/>
            <rFont val="Tahoma"/>
            <family val="2"/>
          </rPr>
          <t xml:space="preserve">
Permira is expected to improve working capital efficiency such that DSO reduces to 5Y Historical Average</t>
        </r>
      </text>
    </comment>
    <comment ref="L80" authorId="3" shapeId="0" xr:uid="{EE0EFBFB-AD50-486D-90BB-C15632792D00}">
      <text>
        <r>
          <rPr>
            <b/>
            <sz val="9"/>
            <color indexed="81"/>
            <rFont val="Tahoma"/>
            <family val="2"/>
          </rPr>
          <t>Anand8,A (ug):</t>
        </r>
        <r>
          <rPr>
            <sz val="9"/>
            <color indexed="81"/>
            <rFont val="Tahoma"/>
            <family val="2"/>
          </rPr>
          <t xml:space="preserve">
Roughly 2023 fig</t>
        </r>
      </text>
    </comment>
    <comment ref="R80" authorId="0" shapeId="0" xr:uid="{BF403C0E-330B-435E-A470-63DD94A0881B}">
      <text>
        <r>
          <rPr>
            <b/>
            <sz val="9"/>
            <color indexed="81"/>
            <rFont val="Tahoma"/>
            <family val="2"/>
          </rPr>
          <t>Siddharth Srikanth:</t>
        </r>
        <r>
          <rPr>
            <sz val="9"/>
            <color indexed="81"/>
            <rFont val="Tahoma"/>
            <family val="2"/>
          </rPr>
          <t xml:space="preserve">
Permira is expected to improve working capital efficiency and counter the decreasing trend by increasing closer towards 5Y Historical Average of 40.
To take a more conservative approach, that number is discounted to 30</t>
        </r>
      </text>
    </comment>
    <comment ref="L83" authorId="2" shapeId="0" xr:uid="{5401420C-639F-4658-B609-101C401FE9F2}">
      <text>
        <r>
          <rPr>
            <b/>
            <sz val="9"/>
            <color indexed="81"/>
            <rFont val="Tahoma"/>
            <family val="2"/>
          </rPr>
          <t>Srikanth,S (ug):</t>
        </r>
        <r>
          <rPr>
            <sz val="9"/>
            <color indexed="81"/>
            <rFont val="Tahoma"/>
            <family val="2"/>
          </rPr>
          <t xml:space="preserve">
Historical 3Y Average </t>
        </r>
      </text>
    </comment>
    <comment ref="L85" authorId="2" shapeId="0" xr:uid="{22C37AFC-5D5A-4863-A516-EAD2FD3C12AC}">
      <text>
        <r>
          <rPr>
            <b/>
            <sz val="9"/>
            <color indexed="81"/>
            <rFont val="Tahoma"/>
            <family val="2"/>
          </rPr>
          <t>Srikanth,S (ug):</t>
        </r>
        <r>
          <rPr>
            <sz val="9"/>
            <color indexed="81"/>
            <rFont val="Tahoma"/>
            <family val="2"/>
          </rPr>
          <t xml:space="preserve">
Roughly 2023 fig
</t>
        </r>
      </text>
    </comment>
    <comment ref="R85" authorId="2" shapeId="0" xr:uid="{54C4F852-6952-4CE7-B1F1-C614911C16F9}">
      <text>
        <r>
          <rPr>
            <b/>
            <sz val="9"/>
            <color indexed="81"/>
            <rFont val="Tahoma"/>
            <family val="2"/>
          </rPr>
          <t>Srikanth,S (ug):</t>
        </r>
        <r>
          <rPr>
            <sz val="9"/>
            <color indexed="81"/>
            <rFont val="Tahoma"/>
            <family val="2"/>
          </rPr>
          <t xml:space="preserve">
Historical 5Y Average
</t>
        </r>
      </text>
    </comment>
    <comment ref="L87" authorId="2" shapeId="0" xr:uid="{BC6CFF6C-AE11-4157-B7C2-CB4EBB42E6B4}">
      <text>
        <r>
          <rPr>
            <b/>
            <sz val="9"/>
            <color indexed="81"/>
            <rFont val="Tahoma"/>
            <family val="2"/>
          </rPr>
          <t>Srikanth,S (ug):</t>
        </r>
        <r>
          <rPr>
            <sz val="9"/>
            <color indexed="81"/>
            <rFont val="Tahoma"/>
            <family val="2"/>
          </rPr>
          <t xml:space="preserve">
Historical 5Y Average</t>
        </r>
      </text>
    </comment>
    <comment ref="L89" authorId="2" shapeId="0" xr:uid="{7D838FB8-3CB9-4AC8-B93D-00046B3F69EC}">
      <text>
        <r>
          <rPr>
            <b/>
            <sz val="9"/>
            <color indexed="81"/>
            <rFont val="Tahoma"/>
            <family val="2"/>
          </rPr>
          <t>Srikanth,S (ug):</t>
        </r>
        <r>
          <rPr>
            <sz val="9"/>
            <color indexed="81"/>
            <rFont val="Tahoma"/>
            <family val="2"/>
          </rPr>
          <t xml:space="preserve">
Historical 5Y Average</t>
        </r>
      </text>
    </comment>
    <comment ref="L95" authorId="2" shapeId="0" xr:uid="{A2159AE7-B816-4A1B-9C03-CC7DCD15892D}">
      <text>
        <r>
          <rPr>
            <b/>
            <sz val="9"/>
            <color indexed="81"/>
            <rFont val="Tahoma"/>
            <family val="2"/>
          </rPr>
          <t>Srikanth,S (ug):</t>
        </r>
        <r>
          <rPr>
            <sz val="9"/>
            <color indexed="81"/>
            <rFont val="Tahoma"/>
            <family val="2"/>
          </rPr>
          <t xml:space="preserve">
Median value of 2024 Daily SOFR rates </t>
        </r>
      </text>
    </comment>
    <comment ref="R95" authorId="2" shapeId="0" xr:uid="{A97040DD-EF30-4C86-8977-1F4D84F44DCF}">
      <text>
        <r>
          <rPr>
            <b/>
            <sz val="9"/>
            <color indexed="81"/>
            <rFont val="Tahoma"/>
            <family val="2"/>
          </rPr>
          <t xml:space="preserve">Srikanth,S (ug):
</t>
        </r>
        <r>
          <rPr>
            <sz val="9"/>
            <color indexed="81"/>
            <rFont val="Tahoma"/>
            <family val="2"/>
          </rPr>
          <t xml:space="preserve">Median from 3-Month Forecasted SOFR </t>
        </r>
      </text>
    </comment>
    <comment ref="D100" authorId="4" shapeId="0" xr:uid="{759D609C-5611-4DDB-BD57-F2C3BB09F33A}">
      <text>
        <r>
          <rPr>
            <b/>
            <sz val="9"/>
            <color indexed="81"/>
            <rFont val="Tahoma"/>
            <family val="2"/>
          </rPr>
          <t>Mateja Vuković:</t>
        </r>
        <r>
          <rPr>
            <sz val="9"/>
            <color indexed="81"/>
            <rFont val="Tahoma"/>
            <family val="2"/>
          </rPr>
          <t xml:space="preserve">
Compare the leverage ratio to this hurdle. If it's smaller, the spread over SOFR used to compute interest rates on the Term Loan and the DDTL drops from 5% to 4.75%. </t>
        </r>
      </text>
    </comment>
    <comment ref="G114" authorId="0" shapeId="0" xr:uid="{3B1CB5DB-74CB-4039-9FF8-3EF6FC47CBA8}">
      <text>
        <r>
          <rPr>
            <b/>
            <sz val="9"/>
            <color indexed="81"/>
            <rFont val="Tahoma"/>
            <family val="2"/>
          </rPr>
          <t>Siddharth Srikanth:</t>
        </r>
        <r>
          <rPr>
            <sz val="9"/>
            <color indexed="81"/>
            <rFont val="Tahoma"/>
            <family val="2"/>
          </rPr>
          <t xml:space="preserve">
No figures since average balances were used</t>
        </r>
      </text>
    </comment>
    <comment ref="L114" authorId="0" shapeId="0" xr:uid="{706DB058-0571-4ABA-9AC8-F9C35A55F294}">
      <text>
        <r>
          <rPr>
            <b/>
            <sz val="9"/>
            <color indexed="81"/>
            <rFont val="Tahoma"/>
            <family val="2"/>
          </rPr>
          <t>Siddharth Srikanth:</t>
        </r>
        <r>
          <rPr>
            <sz val="9"/>
            <color indexed="81"/>
            <rFont val="Tahoma"/>
            <family val="2"/>
          </rPr>
          <t xml:space="preserve">
4Y Historical Average</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Siddharth Srikanth</author>
    <author>Srikanth,S (ug)</author>
    <author>Mateja Vuković</author>
  </authors>
  <commentList>
    <comment ref="M42" authorId="0" shapeId="0" xr:uid="{68CAFBD5-C9FB-46F2-8385-5D580E952B23}">
      <text>
        <r>
          <rPr>
            <b/>
            <sz val="9"/>
            <color indexed="81"/>
            <rFont val="Tahoma"/>
            <family val="2"/>
          </rPr>
          <t>Siddharth Srikanth:</t>
        </r>
        <r>
          <rPr>
            <sz val="9"/>
            <color indexed="81"/>
            <rFont val="Tahoma"/>
            <family val="2"/>
          </rPr>
          <t xml:space="preserve">
Cash stagnates for a few years since we drawn down the exact shortfall in our RCL and use up all our cash for mandatory/discretionary repayments</t>
        </r>
      </text>
    </comment>
    <comment ref="B45" authorId="1" shapeId="0" xr:uid="{7B652A0B-0DED-446C-AF4D-B8943DC511CC}">
      <text>
        <r>
          <rPr>
            <b/>
            <sz val="9"/>
            <color indexed="81"/>
            <rFont val="Tahoma"/>
            <family val="2"/>
          </rPr>
          <t>Srikanth,S (ug):</t>
        </r>
        <r>
          <rPr>
            <sz val="9"/>
            <color indexed="81"/>
            <rFont val="Tahoma"/>
            <family val="2"/>
          </rPr>
          <t xml:space="preserve">
Includes Marketable Securities</t>
        </r>
      </text>
    </comment>
    <comment ref="S49" authorId="0" shapeId="0" xr:uid="{CB905EFE-48BF-4BBE-B893-A54EC96D64FA}">
      <text>
        <r>
          <rPr>
            <b/>
            <sz val="9"/>
            <color indexed="81"/>
            <rFont val="Tahoma"/>
            <family val="2"/>
          </rPr>
          <t>Siddharth Srikanth:</t>
        </r>
        <r>
          <rPr>
            <sz val="9"/>
            <color indexed="81"/>
            <rFont val="Tahoma"/>
            <family val="2"/>
          </rPr>
          <t xml:space="preserve">
2024Q1 Numbers
Value became 0 in Q2 but does not make sense to keep it as such for forecast years</t>
        </r>
      </text>
    </comment>
    <comment ref="S67" authorId="0" shapeId="0" xr:uid="{4BEA21B8-130B-440C-AA8F-A47AD70F896B}">
      <text>
        <r>
          <rPr>
            <b/>
            <sz val="9"/>
            <color indexed="81"/>
            <rFont val="Tahoma"/>
            <family val="2"/>
          </rPr>
          <t>Siddharth Srikanth:</t>
        </r>
        <r>
          <rPr>
            <sz val="9"/>
            <color indexed="81"/>
            <rFont val="Tahoma"/>
            <family val="2"/>
          </rPr>
          <t xml:space="preserve">
Assume debt remains constant from 2024FQ2 until transaction closes</t>
        </r>
      </text>
    </comment>
    <comment ref="S77" authorId="0" shapeId="0" xr:uid="{679E6463-53B5-41F0-B5BE-CBDD6803144E}">
      <text>
        <r>
          <rPr>
            <b/>
            <sz val="9"/>
            <color indexed="81"/>
            <rFont val="Tahoma"/>
            <family val="2"/>
          </rPr>
          <t>Siddharth Srikanth:</t>
        </r>
        <r>
          <rPr>
            <sz val="9"/>
            <color indexed="81"/>
            <rFont val="Tahoma"/>
            <family val="2"/>
          </rPr>
          <t xml:space="preserve">
Assume debt remains constant from 2024FQ2 until transaction closes</t>
        </r>
      </text>
    </comment>
    <comment ref="B170" authorId="0" shapeId="0" xr:uid="{8DF2046D-B1A8-4A09-8443-B1CE54286E68}">
      <text>
        <r>
          <rPr>
            <b/>
            <sz val="9"/>
            <color indexed="81"/>
            <rFont val="Tahoma"/>
            <family val="2"/>
          </rPr>
          <t>Siddharth Srikanth:</t>
        </r>
        <r>
          <rPr>
            <sz val="9"/>
            <color indexed="81"/>
            <rFont val="Tahoma"/>
            <family val="2"/>
          </rPr>
          <t xml:space="preserve">
Total Revenue given by Subscription (Recurring) Revenue + Non-subscription Revenue </t>
        </r>
      </text>
    </comment>
    <comment ref="G191" authorId="0" shapeId="0" xr:uid="{FF8B1FB6-9975-49A5-9F4F-6AE7B6327BA3}">
      <text>
        <r>
          <rPr>
            <b/>
            <sz val="9"/>
            <color indexed="81"/>
            <rFont val="Tahoma"/>
            <family val="2"/>
          </rPr>
          <t>Siddharth Srikanth:</t>
        </r>
        <r>
          <rPr>
            <sz val="9"/>
            <color indexed="81"/>
            <rFont val="Tahoma"/>
            <family val="2"/>
          </rPr>
          <t xml:space="preserve">
Estimated No. of Unique Subscriptions in 2018 (Ending Balance)
Since data was not given, had to backsolve to arrive at this number</t>
        </r>
      </text>
    </comment>
    <comment ref="B192" authorId="0" shapeId="0" xr:uid="{078C8575-53DB-4970-8F79-411C617680CA}">
      <text>
        <r>
          <rPr>
            <b/>
            <sz val="9"/>
            <color indexed="81"/>
            <rFont val="Tahoma"/>
            <family val="2"/>
          </rPr>
          <t>Siddharth Srikanth:</t>
        </r>
        <r>
          <rPr>
            <sz val="9"/>
            <color indexed="81"/>
            <rFont val="Tahoma"/>
            <family val="2"/>
          </rPr>
          <t xml:space="preserve">
No breakdown of expansion and churn given</t>
        </r>
      </text>
    </comment>
    <comment ref="B198" authorId="0" shapeId="0" xr:uid="{60806521-A7D2-48D1-8F0A-077C1B04CE37}">
      <text>
        <r>
          <rPr>
            <b/>
            <sz val="9"/>
            <color indexed="81"/>
            <rFont val="Tahoma"/>
            <family val="2"/>
          </rPr>
          <t>Siddharth Srikanth:</t>
        </r>
        <r>
          <rPr>
            <sz val="9"/>
            <color indexed="81"/>
            <rFont val="Tahoma"/>
            <family val="2"/>
          </rPr>
          <t xml:space="preserve">
Differences between bottoms up revenue build and total revenue historically is due to the revenue from domain assets (Google) which is deemed to be negligble in forecast years</t>
        </r>
      </text>
    </comment>
    <comment ref="L236" authorId="2" shapeId="0" xr:uid="{F61E79B8-140E-466B-8B04-22B5DF37FDB3}">
      <text>
        <r>
          <rPr>
            <b/>
            <sz val="9"/>
            <color indexed="81"/>
            <rFont val="Tahoma"/>
            <family val="2"/>
          </rPr>
          <t>Mateja Vuković:</t>
        </r>
        <r>
          <rPr>
            <sz val="9"/>
            <color indexed="81"/>
            <rFont val="Tahoma"/>
            <family val="2"/>
          </rPr>
          <t xml:space="preserve">
Summed total depreciation and ammortisation expense from below
</t>
        </r>
      </text>
    </comment>
    <comment ref="B249" authorId="1" shapeId="0" xr:uid="{DB87C222-CDF5-4170-A13A-FABFC67895F0}">
      <text>
        <r>
          <rPr>
            <b/>
            <sz val="9"/>
            <color indexed="81"/>
            <rFont val="Tahoma"/>
            <family val="2"/>
          </rPr>
          <t>Srikanth,S (ug):</t>
        </r>
        <r>
          <rPr>
            <sz val="9"/>
            <color indexed="81"/>
            <rFont val="Tahoma"/>
            <family val="2"/>
          </rPr>
          <t xml:space="preserve">
Straight  line depreciation for all</t>
        </r>
      </text>
    </comment>
    <comment ref="B253" authorId="1" shapeId="0" xr:uid="{4318B510-057B-4162-8281-83B616C68ACA}">
      <text>
        <r>
          <rPr>
            <b/>
            <sz val="9"/>
            <color indexed="81"/>
            <rFont val="Tahoma"/>
            <family val="2"/>
          </rPr>
          <t>Srikanth,S (ug):</t>
        </r>
        <r>
          <rPr>
            <sz val="9"/>
            <color indexed="81"/>
            <rFont val="Tahoma"/>
            <family val="2"/>
          </rPr>
          <t xml:space="preserve">
Said to be amortised but is included in PPE. Hence, for simplicity, I have regarded it under depreciation values and kept amortisation for intangible assets specifically </t>
        </r>
      </text>
    </comment>
    <comment ref="B409" authorId="1" shapeId="0" xr:uid="{E5B9BF68-7F32-4E04-B0EB-7C1EA5F28425}">
      <text>
        <r>
          <rPr>
            <b/>
            <sz val="9"/>
            <color indexed="81"/>
            <rFont val="Tahoma"/>
            <family val="2"/>
          </rPr>
          <t>Srikanth,S (ug):</t>
        </r>
        <r>
          <rPr>
            <sz val="9"/>
            <color indexed="81"/>
            <rFont val="Tahoma"/>
            <family val="2"/>
          </rPr>
          <t xml:space="preserve">
Exclude leases as they are assumed to be constant and are not refinanced</t>
        </r>
      </text>
    </comment>
    <comment ref="S411" authorId="0" shapeId="0" xr:uid="{56AEE69D-2DDD-48E1-883C-78804407480D}">
      <text>
        <r>
          <rPr>
            <b/>
            <sz val="9"/>
            <color indexed="81"/>
            <rFont val="Tahoma"/>
            <family val="2"/>
          </rPr>
          <t>Siddharth Srikanth:</t>
        </r>
        <r>
          <rPr>
            <sz val="9"/>
            <color indexed="81"/>
            <rFont val="Tahoma"/>
            <family val="2"/>
          </rPr>
          <t xml:space="preserve">
23,807 worth of debt was paid off prior to transaction close on 17/10/2024</t>
        </r>
      </text>
    </comment>
    <comment ref="T416" authorId="0" shapeId="0" xr:uid="{17FE685B-AF49-46E7-BA27-D6A32BF4B649}">
      <text>
        <r>
          <rPr>
            <b/>
            <sz val="9"/>
            <color indexed="81"/>
            <rFont val="Tahoma"/>
            <family val="2"/>
          </rPr>
          <t>Siddharth Srikanth:</t>
        </r>
        <r>
          <rPr>
            <sz val="9"/>
            <color indexed="81"/>
            <rFont val="Tahoma"/>
            <family val="2"/>
          </rPr>
          <t xml:space="preserve">
All debt is refinanced so there is no longer any interest expense post acquistion</t>
        </r>
      </text>
    </comment>
    <comment ref="B430" authorId="1" shapeId="0" xr:uid="{810B298B-D1B2-410F-82E5-6E405F2B526A}">
      <text>
        <r>
          <rPr>
            <b/>
            <sz val="9"/>
            <color indexed="81"/>
            <rFont val="Tahoma"/>
            <family val="2"/>
          </rPr>
          <t>Srikanth,S (ug):</t>
        </r>
        <r>
          <rPr>
            <sz val="9"/>
            <color indexed="81"/>
            <rFont val="Tahoma"/>
            <family val="2"/>
          </rPr>
          <t xml:space="preserve">
Includes Prepayment (Mandatory)</t>
        </r>
      </text>
    </comment>
    <comment ref="T436" authorId="0" shapeId="0" xr:uid="{ADB66DAB-BE52-4085-983C-7FC0ABBCCC11}">
      <text>
        <r>
          <rPr>
            <b/>
            <sz val="9"/>
            <color indexed="81"/>
            <rFont val="Tahoma"/>
            <family val="2"/>
          </rPr>
          <t>Siddharth Srikanth:</t>
        </r>
        <r>
          <rPr>
            <sz val="9"/>
            <color indexed="81"/>
            <rFont val="Tahoma"/>
            <family val="2"/>
          </rPr>
          <t xml:space="preserve">
Assume no repayments for the rest of 2024</t>
        </r>
      </text>
    </comment>
    <comment ref="B463" authorId="0" shapeId="0" xr:uid="{E053041E-3C86-48D1-981A-986D54B25172}">
      <text>
        <r>
          <rPr>
            <b/>
            <sz val="9"/>
            <color indexed="81"/>
            <rFont val="Tahoma"/>
            <family val="2"/>
          </rPr>
          <t>Siddharth Srikanth:</t>
        </r>
        <r>
          <rPr>
            <sz val="9"/>
            <color indexed="81"/>
            <rFont val="Tahoma"/>
            <family val="2"/>
          </rPr>
          <t xml:space="preserve">
Financial Covenant
% of Mandatory FCF Sweep
&gt;7.25% = 50%
In Between 6.75 and 7,.25 = 25%
&lt;6.75% = 0 %</t>
        </r>
      </text>
    </comment>
    <comment ref="K465" authorId="0" shapeId="0" xr:uid="{16D92390-9566-4C8B-A215-6F15949EDDDF}">
      <text>
        <r>
          <rPr>
            <b/>
            <sz val="9"/>
            <color indexed="81"/>
            <rFont val="Tahoma"/>
            <family val="2"/>
          </rPr>
          <t>Siddharth Srikanth:</t>
        </r>
        <r>
          <rPr>
            <sz val="9"/>
            <color indexed="81"/>
            <rFont val="Tahoma"/>
            <family val="2"/>
          </rPr>
          <t xml:space="preserve">
Based on original principal amount not outstanding balance</t>
        </r>
      </text>
    </comment>
    <comment ref="M465" authorId="0" shapeId="0" xr:uid="{55FF80A4-4ED2-42B2-8C0E-B7F30883A863}">
      <text>
        <r>
          <rPr>
            <b/>
            <sz val="9"/>
            <color indexed="81"/>
            <rFont val="Tahoma"/>
            <family val="2"/>
          </rPr>
          <t>Siddharth Srikanth:</t>
        </r>
        <r>
          <rPr>
            <sz val="9"/>
            <color indexed="81"/>
            <rFont val="Tahoma"/>
            <family val="2"/>
          </rPr>
          <t xml:space="preserve">
Based on commitment letter, repayments start from Q2 2025 (i.e 3 Qs in 2025)</t>
        </r>
      </text>
    </comment>
    <comment ref="T465" authorId="0" shapeId="0" xr:uid="{2D212CD1-7B4B-45D1-90F1-2EB29C20CA76}">
      <text>
        <r>
          <rPr>
            <b/>
            <sz val="9"/>
            <color indexed="81"/>
            <rFont val="Tahoma"/>
            <family val="2"/>
          </rPr>
          <t>Siddharth Srikanth:</t>
        </r>
        <r>
          <rPr>
            <sz val="9"/>
            <color indexed="81"/>
            <rFont val="Tahoma"/>
            <family val="2"/>
          </rPr>
          <t xml:space="preserve">
No repayment in 2024</t>
        </r>
      </text>
    </comment>
    <comment ref="G466" authorId="2" shapeId="0" xr:uid="{D5E7E48A-7EEB-4E75-9F9F-4823EBB983A6}">
      <text>
        <r>
          <rPr>
            <b/>
            <sz val="9"/>
            <color indexed="81"/>
            <rFont val="Tahoma"/>
            <family val="2"/>
          </rPr>
          <t>Mateja Vuković:</t>
        </r>
        <r>
          <rPr>
            <sz val="9"/>
            <color indexed="81"/>
            <rFont val="Tahoma"/>
            <family val="2"/>
          </rPr>
          <t xml:space="preserve">
Compare the Leverage ratio to this figure. If it's smaller, the mandatory percentage of cash flow that has to go towards repayment of Term Loan drops from 50% to 25%. Then compare it to hurdle 2 - if it's still smaller, mandatory percentage goes to 0%.
</t>
        </r>
      </text>
    </comment>
    <comment ref="M474" authorId="0" shapeId="0" xr:uid="{B29BB646-37A9-4B8E-9094-72AE9A981C89}">
      <text>
        <r>
          <rPr>
            <b/>
            <sz val="9"/>
            <color indexed="81"/>
            <rFont val="Tahoma"/>
            <family val="2"/>
          </rPr>
          <t>Siddharth Srikanth:</t>
        </r>
        <r>
          <rPr>
            <sz val="9"/>
            <color indexed="81"/>
            <rFont val="Tahoma"/>
            <family val="2"/>
          </rPr>
          <t xml:space="preserve">
Assume that mandatory prepayments follow same schedule as mandatory repayments
</t>
        </r>
      </text>
    </comment>
    <comment ref="M480" authorId="0" shapeId="0" xr:uid="{83A7A531-486E-4D86-B165-11F64AAFB150}">
      <text>
        <r>
          <rPr>
            <b/>
            <sz val="9"/>
            <color indexed="81"/>
            <rFont val="Tahoma"/>
            <family val="2"/>
          </rPr>
          <t>Siddharth Srikanth:</t>
        </r>
        <r>
          <rPr>
            <sz val="9"/>
            <color indexed="81"/>
            <rFont val="Tahoma"/>
            <family val="2"/>
          </rPr>
          <t xml:space="preserve">
Based on commitment letter, repayments start from Q2 2025 (i.e 3 Qs in 2025)</t>
        </r>
      </text>
    </comment>
    <comment ref="T480" authorId="0" shapeId="0" xr:uid="{FBDAC2A1-137B-4149-9B71-0ABC49942B17}">
      <text>
        <r>
          <rPr>
            <b/>
            <sz val="9"/>
            <color indexed="81"/>
            <rFont val="Tahoma"/>
            <family val="2"/>
          </rPr>
          <t>Siddharth Srikanth:</t>
        </r>
        <r>
          <rPr>
            <sz val="9"/>
            <color indexed="81"/>
            <rFont val="Tahoma"/>
            <family val="2"/>
          </rPr>
          <t xml:space="preserve">
No repayment in 2024</t>
        </r>
      </text>
    </comment>
    <comment ref="G482" authorId="2" shapeId="0" xr:uid="{9A626ECD-B35C-44F5-BAA9-72FF975DEF84}">
      <text>
        <r>
          <rPr>
            <b/>
            <sz val="9"/>
            <color indexed="81"/>
            <rFont val="Tahoma"/>
            <family val="2"/>
          </rPr>
          <t>Mateja Vuković:</t>
        </r>
        <r>
          <rPr>
            <sz val="9"/>
            <color indexed="81"/>
            <rFont val="Tahoma"/>
            <family val="2"/>
          </rPr>
          <t xml:space="preserve">
See comment for hurdle rate 1 above - mechanism is exactly the same.</t>
        </r>
      </text>
    </comment>
    <comment ref="G496" authorId="0" shapeId="0" xr:uid="{3EDE36AE-1028-49F5-8E84-C69CF0D6046B}">
      <text>
        <r>
          <rPr>
            <b/>
            <sz val="9"/>
            <color indexed="81"/>
            <rFont val="Tahoma"/>
            <family val="2"/>
          </rPr>
          <t>Siddharth Srikanth:</t>
        </r>
        <r>
          <rPr>
            <sz val="9"/>
            <color indexed="81"/>
            <rFont val="Tahoma"/>
            <family val="2"/>
          </rPr>
          <t xml:space="preserve">
As per commitment letter</t>
        </r>
      </text>
    </comment>
    <comment ref="B518" authorId="0" shapeId="0" xr:uid="{9DC18FC2-3E79-4CE0-AA5D-3A7A63D6FF32}">
      <text>
        <r>
          <rPr>
            <b/>
            <sz val="9"/>
            <color indexed="81"/>
            <rFont val="Tahoma"/>
            <family val="2"/>
          </rPr>
          <t>Siddharth Srikanth:</t>
        </r>
        <r>
          <rPr>
            <sz val="9"/>
            <color indexed="81"/>
            <rFont val="Tahoma"/>
            <family val="2"/>
          </rPr>
          <t xml:space="preserve">
Discretionary Prepayments = Voluntary Prepayments Fee (2%) + Principal Repaid  </t>
        </r>
      </text>
    </comment>
    <comment ref="B532" authorId="0" shapeId="0" xr:uid="{F4301BA0-6E86-4C7E-BD33-4B7E4AAC9EC5}">
      <text>
        <r>
          <rPr>
            <b/>
            <sz val="9"/>
            <color indexed="81"/>
            <rFont val="Tahoma"/>
            <family val="2"/>
          </rPr>
          <t>Siddharth Srikanth:</t>
        </r>
        <r>
          <rPr>
            <sz val="9"/>
            <color indexed="81"/>
            <rFont val="Tahoma"/>
            <family val="2"/>
          </rPr>
          <t xml:space="preserve">
For simplicity, we assume that the overall repayment gets reduced because of the fees rather than expensing the fees itself </t>
        </r>
      </text>
    </comment>
    <comment ref="B548" authorId="0" shapeId="0" xr:uid="{78D98171-31EC-4ED1-8354-C5E3D61B4E0C}">
      <text>
        <r>
          <rPr>
            <b/>
            <sz val="9"/>
            <color indexed="81"/>
            <rFont val="Tahoma"/>
            <family val="2"/>
          </rPr>
          <t>Siddharth Srikanth:</t>
        </r>
        <r>
          <rPr>
            <sz val="9"/>
            <color indexed="81"/>
            <rFont val="Tahoma"/>
            <family val="2"/>
          </rPr>
          <t xml:space="preserve">
Fees to be handled separately </t>
        </r>
      </text>
    </comment>
    <comment ref="B566" authorId="0" shapeId="0" xr:uid="{FE786C1B-560D-4210-8B36-0B302D20780C}">
      <text>
        <r>
          <rPr>
            <b/>
            <sz val="9"/>
            <color indexed="81"/>
            <rFont val="Tahoma"/>
            <family val="2"/>
          </rPr>
          <t>Siddharth Srikanth:</t>
        </r>
        <r>
          <rPr>
            <sz val="9"/>
            <color indexed="81"/>
            <rFont val="Tahoma"/>
            <family val="2"/>
          </rPr>
          <t xml:space="preserve">
Includes voluntary repayment fees (2%) of principal repaid</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Siddharth Srikanth</author>
  </authors>
  <commentList>
    <comment ref="B2" authorId="0" shapeId="0" xr:uid="{5BA32FD4-A9BD-4A2F-900E-D9F5C153F5E2}">
      <text>
        <r>
          <rPr>
            <b/>
            <sz val="9"/>
            <color indexed="81"/>
            <rFont val="Tahoma"/>
            <family val="2"/>
          </rPr>
          <t xml:space="preserve">Siddharth Srikanth:
</t>
        </r>
        <r>
          <rPr>
            <sz val="9"/>
            <color indexed="81"/>
            <rFont val="Tahoma"/>
            <family val="2"/>
          </rPr>
          <t>All data is exported directly from CapIQ unless stated otherwise</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tc={9CE04F60-F7E0-4434-A6F6-3CE2591B1A99}</author>
  </authors>
  <commentList>
    <comment ref="W14" authorId="0" shapeId="0" xr:uid="{9CE04F60-F7E0-4434-A6F6-3CE2591B1A99}">
      <text>
        <t>[Threaded comment]
Your version of Excel allows you to read this threaded comment; however, any edits to it will get removed if the file is opened in a newer version of Excel. Learn more: https://go.microsoft.com/fwlink/?linkid=870924
Comment:
    Need to double-check as was written as 12% previously?</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<sst xmlns="http://schemas.openxmlformats.org/spreadsheetml/2006/main" count="3604" uniqueCount="1455">
  <si>
    <t xml:space="preserve">Squarespace Permira LBO Model </t>
  </si>
  <si>
    <t>Table of Contents</t>
  </si>
  <si>
    <t>Legend and Notations</t>
  </si>
  <si>
    <t>Units &amp; Accuracy</t>
  </si>
  <si>
    <t xml:space="preserve">Historical IS </t>
  </si>
  <si>
    <t>Hardcoded Figures</t>
  </si>
  <si>
    <t>USD Thousands</t>
  </si>
  <si>
    <t>Currency Units</t>
  </si>
  <si>
    <t>Transaction Details</t>
  </si>
  <si>
    <t>Historical BS</t>
  </si>
  <si>
    <t>Formulas</t>
  </si>
  <si>
    <t>Number of Decimal Places</t>
  </si>
  <si>
    <t>Key Inputs and Drivers</t>
  </si>
  <si>
    <t>Historical CFS</t>
  </si>
  <si>
    <t>Links (Other Worksheet)</t>
  </si>
  <si>
    <t>Model</t>
  </si>
  <si>
    <t>Historical SOFR Rates</t>
  </si>
  <si>
    <t xml:space="preserve">Appendix </t>
  </si>
  <si>
    <t>x</t>
  </si>
  <si>
    <t>Purchase Price</t>
  </si>
  <si>
    <t xml:space="preserve">Sources and Uses </t>
  </si>
  <si>
    <t>All figures are in USD $000, unless stated otherwise</t>
  </si>
  <si>
    <t>EBITDA Multiples</t>
  </si>
  <si>
    <t>Sources</t>
  </si>
  <si>
    <t>% of Sources</t>
  </si>
  <si>
    <t>Amount</t>
  </si>
  <si>
    <t>Uses</t>
  </si>
  <si>
    <t xml:space="preserve">Entry EV/EBITDA </t>
  </si>
  <si>
    <t>Cash (Target)</t>
  </si>
  <si>
    <t>Equity Offer Value</t>
  </si>
  <si>
    <t>Exit EV/EBITDA</t>
  </si>
  <si>
    <t>Revolving Credit Line</t>
  </si>
  <si>
    <t>Refinance Short-Term Debt</t>
  </si>
  <si>
    <t>EBITDA</t>
  </si>
  <si>
    <t>Term Loan (Senior Debt)</t>
  </si>
  <si>
    <t>Refinance Long-Term Debt</t>
  </si>
  <si>
    <t>Entry = Exit?</t>
  </si>
  <si>
    <t>DDTL Facility</t>
  </si>
  <si>
    <t>Fees</t>
  </si>
  <si>
    <t>Sponsor Equity</t>
  </si>
  <si>
    <t xml:space="preserve">Total Uses </t>
  </si>
  <si>
    <t>Enterprise Value (EV)</t>
  </si>
  <si>
    <t>Total Sources</t>
  </si>
  <si>
    <t>Market Capitalisation</t>
  </si>
  <si>
    <t>(-) Cash and Equivalents</t>
  </si>
  <si>
    <t>Capital Structure of Financing</t>
  </si>
  <si>
    <t xml:space="preserve">% </t>
  </si>
  <si>
    <t>Debt</t>
  </si>
  <si>
    <t>Equity</t>
  </si>
  <si>
    <t>(+) Short-Term Debt</t>
  </si>
  <si>
    <t>(+) Long-Term Debt</t>
  </si>
  <si>
    <t>Total</t>
  </si>
  <si>
    <t>Total Debt</t>
  </si>
  <si>
    <t>Net Debt</t>
  </si>
  <si>
    <t xml:space="preserve">Operating Leases </t>
  </si>
  <si>
    <t>(+) Short-Term Leases</t>
  </si>
  <si>
    <t>(+) Long-Term Leases</t>
  </si>
  <si>
    <t>Total Leases</t>
  </si>
  <si>
    <t>Enterprise Value</t>
  </si>
  <si>
    <t>Other Inputs</t>
  </si>
  <si>
    <t>Implied Enterprise Value (EV) Offer Value</t>
  </si>
  <si>
    <t xml:space="preserve">General Inputs </t>
  </si>
  <si>
    <t>Fee Structure</t>
  </si>
  <si>
    <t>Consideration to Shareholders</t>
  </si>
  <si>
    <t>First Forecasted Fiscal Year End</t>
  </si>
  <si>
    <t xml:space="preserve">Debt Financing </t>
  </si>
  <si>
    <t xml:space="preserve">% of Shares Sought </t>
  </si>
  <si>
    <t>Latest Actual Fiscal Year End</t>
  </si>
  <si>
    <t xml:space="preserve">Debt Restructuring </t>
  </si>
  <si>
    <t>Implied Equity Offer Value</t>
  </si>
  <si>
    <t>Transaction Close Date</t>
  </si>
  <si>
    <t>Advisory/Closing Costs</t>
  </si>
  <si>
    <t>Market Cap</t>
  </si>
  <si>
    <t>First Year of Forecast</t>
  </si>
  <si>
    <t>Total Fees</t>
  </si>
  <si>
    <t>(+) Net Debt and Operating Leases</t>
  </si>
  <si>
    <t>Stub Period (Pre Acquisition)</t>
  </si>
  <si>
    <t>Implied Enterprise Offer Value</t>
  </si>
  <si>
    <t>Stub Period (Post Acquisition)</t>
  </si>
  <si>
    <t>Common Equity</t>
  </si>
  <si>
    <t>Exit EV/EBITDA Calculation</t>
  </si>
  <si>
    <t>Multiple</t>
  </si>
  <si>
    <t>Weightage</t>
  </si>
  <si>
    <t>Fully Diluted Shares Outstanding</t>
  </si>
  <si>
    <t>Implied Entry Multiple</t>
  </si>
  <si>
    <t xml:space="preserve">Share Price Offer </t>
  </si>
  <si>
    <t xml:space="preserve">Core Comps </t>
  </si>
  <si>
    <t>Non-Core Comps</t>
  </si>
  <si>
    <t>Options</t>
  </si>
  <si>
    <t>Exit EV/EBITDA Multiple</t>
  </si>
  <si>
    <t>Days in Period</t>
  </si>
  <si>
    <t>Effective Tax Rate</t>
  </si>
  <si>
    <t xml:space="preserve">Unaffected Share Price </t>
  </si>
  <si>
    <t>Minimum Cash Balance</t>
  </si>
  <si>
    <t>Premium/(Discount)</t>
  </si>
  <si>
    <t xml:space="preserve">Interest Rates on Deposits </t>
  </si>
  <si>
    <t>Financing Assumptions</t>
  </si>
  <si>
    <t>Type</t>
  </si>
  <si>
    <t>%</t>
  </si>
  <si>
    <t>Limit</t>
  </si>
  <si>
    <t>Issuance Fee (%)</t>
  </si>
  <si>
    <t>Issuance Fee</t>
  </si>
  <si>
    <t>Commitment Fee (%)</t>
  </si>
  <si>
    <t>Additional Fee (%)</t>
  </si>
  <si>
    <t>SOFR Spread</t>
  </si>
  <si>
    <t>Mandatory Prepayment</t>
  </si>
  <si>
    <t>Cash Sweep</t>
  </si>
  <si>
    <t>Loan Amortisation</t>
  </si>
  <si>
    <t>-</t>
  </si>
  <si>
    <t xml:space="preserve">Sponsor Equity </t>
  </si>
  <si>
    <t xml:space="preserve"> </t>
  </si>
  <si>
    <t>Operational Model Drivers</t>
  </si>
  <si>
    <t>2019A</t>
  </si>
  <si>
    <t>2020A</t>
  </si>
  <si>
    <t>2021A</t>
  </si>
  <si>
    <t>2022A</t>
  </si>
  <si>
    <t>2023A</t>
  </si>
  <si>
    <t>2024E</t>
  </si>
  <si>
    <t>Driver Switch</t>
  </si>
  <si>
    <t>Fiscal Year End</t>
  </si>
  <si>
    <t>Days in FY</t>
  </si>
  <si>
    <t xml:space="preserve">Circularity </t>
  </si>
  <si>
    <t>Fraction of FY</t>
  </si>
  <si>
    <t>Units</t>
  </si>
  <si>
    <t>USD, $000</t>
  </si>
  <si>
    <t>Revenue Drivers</t>
  </si>
  <si>
    <t>Subscription ARPUS</t>
  </si>
  <si>
    <t>Best Case</t>
  </si>
  <si>
    <t>Base Case</t>
  </si>
  <si>
    <t>Worst Case</t>
  </si>
  <si>
    <t>Non-subscription ARPUS</t>
  </si>
  <si>
    <t>%growth weights</t>
  </si>
  <si>
    <t>Net retention rate</t>
  </si>
  <si>
    <t>Cost Drivers</t>
  </si>
  <si>
    <t>Cost of Goods Sold Margin</t>
  </si>
  <si>
    <t>Bull</t>
  </si>
  <si>
    <t>Base</t>
  </si>
  <si>
    <t>Bear</t>
  </si>
  <si>
    <t>SG&amp;A Margin</t>
  </si>
  <si>
    <t>Research and Product Development Margin</t>
  </si>
  <si>
    <t>Other Income (Loss), Net</t>
  </si>
  <si>
    <t>(% of Revenue)</t>
  </si>
  <si>
    <t>Provision for Income Tax</t>
  </si>
  <si>
    <t>% of EBT (Pre-Tax Income)</t>
  </si>
  <si>
    <t>Balance Sheet Drivers</t>
  </si>
  <si>
    <t>Purchases of PPE (CapEx)</t>
  </si>
  <si>
    <t>CapEx Additions</t>
  </si>
  <si>
    <t>(% of CapEx)</t>
  </si>
  <si>
    <t>c</t>
  </si>
  <si>
    <t>% Net Additions</t>
  </si>
  <si>
    <t>Computer Hardware</t>
  </si>
  <si>
    <t>Furniture and Fixtures</t>
  </si>
  <si>
    <t>Leasehold Improvements</t>
  </si>
  <si>
    <t xml:space="preserve">Capitalised Software Dev. Costs </t>
  </si>
  <si>
    <t>Check</t>
  </si>
  <si>
    <t>Purchases of Intangible Assets</t>
  </si>
  <si>
    <t>Amortisation Additions (%)</t>
  </si>
  <si>
    <t>(% of Amortisation Expense</t>
  </si>
  <si>
    <t xml:space="preserve">Technology </t>
  </si>
  <si>
    <t>Customer Relationships</t>
  </si>
  <si>
    <t>Tradenames</t>
  </si>
  <si>
    <t>Amortisation Expense</t>
  </si>
  <si>
    <t>(Management Guidelines)</t>
  </si>
  <si>
    <t>Working Capital</t>
  </si>
  <si>
    <t>Accounts Receivable (DSO)</t>
  </si>
  <si>
    <t>Accounts Payable (DPO)</t>
  </si>
  <si>
    <t>Due from Vendor</t>
  </si>
  <si>
    <t>Prepaid Expenses &amp; Other Liabilities</t>
  </si>
  <si>
    <t>Accrued Liabilities</t>
  </si>
  <si>
    <t>Secured Overnight Financing Rate (SOFR)</t>
  </si>
  <si>
    <t xml:space="preserve">Revolving Credit Facility </t>
  </si>
  <si>
    <t>Spread</t>
  </si>
  <si>
    <t>Equity Issuance/ (Repurchase)</t>
  </si>
  <si>
    <t xml:space="preserve">Dividends </t>
  </si>
  <si>
    <t>Interest Rate</t>
  </si>
  <si>
    <t>Income Statement</t>
  </si>
  <si>
    <t>Stub Period</t>
  </si>
  <si>
    <t>Total Revenue</t>
  </si>
  <si>
    <t>Cost of Goods Sold</t>
  </si>
  <si>
    <t>Gross Profit</t>
  </si>
  <si>
    <t>Operating Expenses</t>
  </si>
  <si>
    <t>Research and Product Development</t>
  </si>
  <si>
    <t xml:space="preserve">Sales, General &amp; Administrative </t>
  </si>
  <si>
    <t>Impairment Charges</t>
  </si>
  <si>
    <t>Total Operating Expenses</t>
  </si>
  <si>
    <t>EBIT (Operating Income)</t>
  </si>
  <si>
    <t>Interest Expense</t>
  </si>
  <si>
    <t>EBT (Pre-Tax Income)</t>
  </si>
  <si>
    <t>Net Income</t>
  </si>
  <si>
    <t>Depreciation &amp; Amortisation</t>
  </si>
  <si>
    <t>Balance Sheet</t>
  </si>
  <si>
    <t>Current Assets</t>
  </si>
  <si>
    <t>Cash and Cash Equivalents</t>
  </si>
  <si>
    <t>Accounts Receivables</t>
  </si>
  <si>
    <t>Prepaid Expenses and Other Current Assets</t>
  </si>
  <si>
    <t>Restricted Cash</t>
  </si>
  <si>
    <t>Total Current Assets</t>
  </si>
  <si>
    <t>Noncurrent Assets</t>
  </si>
  <si>
    <t>Operating Lease Right-of-use Assets</t>
  </si>
  <si>
    <t>Property and Equipment, Net</t>
  </si>
  <si>
    <t>Deferred Income Taxes</t>
  </si>
  <si>
    <t>Goodwill</t>
  </si>
  <si>
    <t>Intangible Assets, Net</t>
  </si>
  <si>
    <t>Other Assets</t>
  </si>
  <si>
    <t>Total Noncurrent Assets</t>
  </si>
  <si>
    <t>Total Assets</t>
  </si>
  <si>
    <t>Current Liabilities</t>
  </si>
  <si>
    <t>Revolving Credit Facility</t>
  </si>
  <si>
    <t>Accounts Payable</t>
  </si>
  <si>
    <t>Debt-current Portion</t>
  </si>
  <si>
    <t>Operating Lease Liabilities -current Portion</t>
  </si>
  <si>
    <t>Deferred Revenue</t>
  </si>
  <si>
    <t>Other Current Liabilities</t>
  </si>
  <si>
    <t>Funds Payable to Customers</t>
  </si>
  <si>
    <t>Deferred rent and lease incentives, Current portion</t>
  </si>
  <si>
    <t>Total Current Liabilities</t>
  </si>
  <si>
    <t>Noncurrent Liabilities</t>
  </si>
  <si>
    <t>Term Loans</t>
  </si>
  <si>
    <t>Debt, Non-current Portion (Existing)</t>
  </si>
  <si>
    <t>Operating Lease Liabilities - Non-current Portion</t>
  </si>
  <si>
    <t>Deferred Income Taxes-non Current Portion</t>
  </si>
  <si>
    <t>Preferred Stock Convertible</t>
  </si>
  <si>
    <t>Other Liabilities</t>
  </si>
  <si>
    <t>Other Non-current Liabilities</t>
  </si>
  <si>
    <t>Deferred rent and lease incentives, non-current portion</t>
  </si>
  <si>
    <t>Total Noncurrent Liabilities</t>
  </si>
  <si>
    <t xml:space="preserve">Total Liabilities  </t>
  </si>
  <si>
    <t>Shareholders' Equity</t>
  </si>
  <si>
    <t>Common Stock - Par Value</t>
  </si>
  <si>
    <t>Additional Paid in Capital</t>
  </si>
  <si>
    <t>Retained Earnings (Accumulated Deficit)</t>
  </si>
  <si>
    <t>Accumulated Other Comprehensive Income (Loss)</t>
  </si>
  <si>
    <t>Total Shareholders Equity</t>
  </si>
  <si>
    <t>Total Liabilities &amp; Shareholders Equity</t>
  </si>
  <si>
    <t>Cash Flow Statement</t>
  </si>
  <si>
    <t>Operating Activities</t>
  </si>
  <si>
    <t>Depreciation and Amortisation</t>
  </si>
  <si>
    <t>Stock based Compensation</t>
  </si>
  <si>
    <t>Others</t>
  </si>
  <si>
    <t>Non-cash Lease Income/Expense</t>
  </si>
  <si>
    <t>Accounts Receivable and Due from Vendors</t>
  </si>
  <si>
    <t>Accounts Payable and Accrued Liabilities</t>
  </si>
  <si>
    <t>Other Operating Assets and Liabilities</t>
  </si>
  <si>
    <t>Deferred Rent and Lease Incentive</t>
  </si>
  <si>
    <t>Cash Flow from Operating Activities</t>
  </si>
  <si>
    <t>Investing Activities</t>
  </si>
  <si>
    <t>Purchase of Property and Equipment</t>
  </si>
  <si>
    <t>Cash Paid for Acquisition Net of Acquired Cash</t>
  </si>
  <si>
    <t>Purchase of Marketable Securities</t>
  </si>
  <si>
    <t>Proceeds from the Sales and Maturities of Marketable Securities</t>
  </si>
  <si>
    <t>Cash Flow from Investing Activities</t>
  </si>
  <si>
    <t>Financing Activities</t>
  </si>
  <si>
    <t xml:space="preserve">Purchase Price (Acquisition Related Equity) </t>
  </si>
  <si>
    <t>Borrowings on Term-loan</t>
  </si>
  <si>
    <t>Principal Payments on Existing Debt</t>
  </si>
  <si>
    <t>Proceeds from Issuance of Class C Common Stock, Net of Issuance Costs</t>
  </si>
  <si>
    <t>Proceeds from Exercise of Stock Options</t>
  </si>
  <si>
    <t>Payment for Tender Offer</t>
  </si>
  <si>
    <t>Taxes Paid Related to Net Share Settlement of Equity Awards</t>
  </si>
  <si>
    <t>Payments for Investor Repurchase</t>
  </si>
  <si>
    <t>Payments for repurchase and retirement of Class Acommon stock</t>
  </si>
  <si>
    <t>Dividends Paid</t>
  </si>
  <si>
    <t>Payments of Debt Issuance Costs</t>
  </si>
  <si>
    <t>Sponsor Equity Contribution</t>
  </si>
  <si>
    <t>Revolving Credit Line Issuance/ (Repayment)</t>
  </si>
  <si>
    <t>Term Loan Issuance/ (Repayment)</t>
  </si>
  <si>
    <t>DDTL Issuance/ (Repayment)</t>
  </si>
  <si>
    <t>Contingent Consideration Paid for Acquisition</t>
  </si>
  <si>
    <t>Cash Flow from Financing Activities</t>
  </si>
  <si>
    <t>Other Adjustments</t>
  </si>
  <si>
    <t>Foreign Exchange Rate Effect on Cash and Cash Equivalents</t>
  </si>
  <si>
    <t>Cash Flow Net Changes in Cash</t>
  </si>
  <si>
    <t>Beginning Cash Balance</t>
  </si>
  <si>
    <t xml:space="preserve">Net Changes in Cash </t>
  </si>
  <si>
    <t>Ending Cash Balance</t>
  </si>
  <si>
    <t xml:space="preserve">Bottoms-Up Revenue Schedule </t>
  </si>
  <si>
    <t>YoY Growth (%)</t>
  </si>
  <si>
    <t>Subscription (Recurring) Revenue</t>
  </si>
  <si>
    <t>Total Subscription Revenue</t>
  </si>
  <si>
    <t>Average Revenue Per Unique Subscription (ARPUS)</t>
  </si>
  <si>
    <t>Non-Subscription (Non-Recurring) Revenue</t>
  </si>
  <si>
    <t>Total Non-Subscription Revenue</t>
  </si>
  <si>
    <t xml:space="preserve">Total Number of Unique Subscriptions </t>
  </si>
  <si>
    <t>Total Number of Unique Subscriptions, BOP</t>
  </si>
  <si>
    <t>Net Retention Rate (%)</t>
  </si>
  <si>
    <t>Total Number of Unique Subscriptions, EOP</t>
  </si>
  <si>
    <t>Average Number of Unique Subscriptions</t>
  </si>
  <si>
    <t>Adjustments</t>
  </si>
  <si>
    <t>Costs Schedule</t>
  </si>
  <si>
    <t>Margin</t>
  </si>
  <si>
    <t>YoY Growth</t>
  </si>
  <si>
    <t>Sales, General and Administrative</t>
  </si>
  <si>
    <t>D&amp;A Schedule</t>
  </si>
  <si>
    <t xml:space="preserve">D&amp;A </t>
  </si>
  <si>
    <t>PPE (Depreciation) Schedule</t>
  </si>
  <si>
    <t>Revenue</t>
  </si>
  <si>
    <t>Net PPE</t>
  </si>
  <si>
    <t>Beginning Net PPE</t>
  </si>
  <si>
    <t>(-) Depreciation</t>
  </si>
  <si>
    <t>(+) CapEx</t>
  </si>
  <si>
    <t>Ending Net PPE</t>
  </si>
  <si>
    <t>Cost Allocation</t>
  </si>
  <si>
    <t xml:space="preserve">Useful Life </t>
  </si>
  <si>
    <t>PPE at Cost</t>
  </si>
  <si>
    <t>Beginning Depreciation</t>
  </si>
  <si>
    <t>Depreciation Expense</t>
  </si>
  <si>
    <t>Ending Depreciation</t>
  </si>
  <si>
    <t>Capital Expenditure</t>
  </si>
  <si>
    <t>% of Sales</t>
  </si>
  <si>
    <t>Additions</t>
  </si>
  <si>
    <t>Total Net Additions</t>
  </si>
  <si>
    <t>Useful Life</t>
  </si>
  <si>
    <t>Opening Balance</t>
  </si>
  <si>
    <t>Depreciation</t>
  </si>
  <si>
    <t>Net Balance</t>
  </si>
  <si>
    <t>Current Year</t>
  </si>
  <si>
    <t>Final Year</t>
  </si>
  <si>
    <t>Depreciation/Yr</t>
  </si>
  <si>
    <t>Furnitures and Fixtures</t>
  </si>
  <si>
    <t xml:space="preserve">Leasehold Improvements </t>
  </si>
  <si>
    <t>Capitalised Software Development Costs</t>
  </si>
  <si>
    <t>Intangible Assets (Amortisation) Schedule</t>
  </si>
  <si>
    <t>Net Intangible Assets</t>
  </si>
  <si>
    <t>Beginning Net Intangible Assets</t>
  </si>
  <si>
    <t>(-) Amortisation Expense</t>
  </si>
  <si>
    <t>(+) Purchases of Intangible Assets</t>
  </si>
  <si>
    <t>Ending Net Intangible Assets</t>
  </si>
  <si>
    <t>Accumulated Amortisation Expenses</t>
  </si>
  <si>
    <t>Ending Accumulated Amortisation</t>
  </si>
  <si>
    <t>Working Capital Schedule</t>
  </si>
  <si>
    <t>Revenue Per Day</t>
  </si>
  <si>
    <t>Costs Per Day</t>
  </si>
  <si>
    <t xml:space="preserve">Total </t>
  </si>
  <si>
    <t xml:space="preserve">Current Liabilites </t>
  </si>
  <si>
    <t>NWC</t>
  </si>
  <si>
    <t>Change in NWC</t>
  </si>
  <si>
    <t>Debt Schedule Part 1: Before Acquisition</t>
  </si>
  <si>
    <t>Existing Debt Stage 1: (Up till Transaction Date)</t>
  </si>
  <si>
    <t>Beginning of Period Total Debt Balance</t>
  </si>
  <si>
    <t>Issuance/(Payment)</t>
  </si>
  <si>
    <t>End of Period Total Debt Balance</t>
  </si>
  <si>
    <t>Cost of Debt</t>
  </si>
  <si>
    <t>Historical Interest Expenses</t>
  </si>
  <si>
    <t xml:space="preserve">Debt Schedule Part 2: Revolving Credit Facility </t>
  </si>
  <si>
    <t>Opening Cash Balance</t>
  </si>
  <si>
    <t>Cash from Operations</t>
  </si>
  <si>
    <t>Cash from Investing</t>
  </si>
  <si>
    <t>Mandatory Debt Issuance / (Repayment)</t>
  </si>
  <si>
    <t>Cash Available / (Required) for Revolving Credit Line</t>
  </si>
  <si>
    <t>Revolving Credit Facility (Drawn)</t>
  </si>
  <si>
    <t>Maximum</t>
  </si>
  <si>
    <t>Beginning</t>
  </si>
  <si>
    <t>Additions / (Repayments)</t>
  </si>
  <si>
    <t>Ending</t>
  </si>
  <si>
    <t>Amount Drawn Exceeds Maximum?</t>
  </si>
  <si>
    <t>Revolving Credit Facility (Undrawn)</t>
  </si>
  <si>
    <t>Committed Amount</t>
  </si>
  <si>
    <t>(Additions) / Repayments</t>
  </si>
  <si>
    <t>Revolving Credit Line Standby Fee Rate</t>
  </si>
  <si>
    <t>Revolving Credit Line Standby Fees</t>
  </si>
  <si>
    <t>Cash Available After Revolving Credit Line Pay Down</t>
  </si>
  <si>
    <t>Debt Schedule Part 3: Term Loans</t>
  </si>
  <si>
    <t>Mandatory Payments</t>
  </si>
  <si>
    <t>Term Loan</t>
  </si>
  <si>
    <t>Loan Amortisation (% of Principal Amount)</t>
  </si>
  <si>
    <t>Cash Available for Mandatory Cash Sweep?</t>
  </si>
  <si>
    <t>Mandatory Sweep %</t>
  </si>
  <si>
    <t>Cash Amount for Term Loan Paydown</t>
  </si>
  <si>
    <t>Beginning Balance</t>
  </si>
  <si>
    <t>Mandatory Repayments</t>
  </si>
  <si>
    <t>Mandatory Cash Sweep</t>
  </si>
  <si>
    <t>Ending Balance</t>
  </si>
  <si>
    <t>DDTL</t>
  </si>
  <si>
    <t>Cash Available After Term Loan Pay Down</t>
  </si>
  <si>
    <t>Cash Available for Discretionary Payments?</t>
  </si>
  <si>
    <t>Cash Amount for DDTL Paydown</t>
  </si>
  <si>
    <t>DDTL (Undrawn)</t>
  </si>
  <si>
    <t>(Additions)/Repayments</t>
  </si>
  <si>
    <t>DDTL Commitment Fee Rate</t>
  </si>
  <si>
    <t>DDTL Commitment Fees</t>
  </si>
  <si>
    <t>Cash Available After DDTL Paydown</t>
  </si>
  <si>
    <t>Voluntary Payments</t>
  </si>
  <si>
    <t>Cash Available after Mandatory Debt Repayments</t>
  </si>
  <si>
    <t>Cash Available for Voluntary Prepayments?</t>
  </si>
  <si>
    <t>Cash Sweep (Voluntary)</t>
  </si>
  <si>
    <t>Additional Repayment Fees (%)</t>
  </si>
  <si>
    <t xml:space="preserve">Principal Repaid </t>
  </si>
  <si>
    <t>Fees (Absolute)</t>
  </si>
  <si>
    <t>Discretionary Prepayments (Total)</t>
  </si>
  <si>
    <t>Cash Available After Discrentionary Term Loan Paydown</t>
  </si>
  <si>
    <t xml:space="preserve">Cash Available after Voluntary Term Loan Prepayments </t>
  </si>
  <si>
    <t>Fees (%)</t>
  </si>
  <si>
    <t>Debt Summary</t>
  </si>
  <si>
    <t>Principal Issuance (Repayments)</t>
  </si>
  <si>
    <t>Existing Debt Refinancing</t>
  </si>
  <si>
    <t xml:space="preserve">Term Loan </t>
  </si>
  <si>
    <t>Total Principal (Repayments) / Issuances</t>
  </si>
  <si>
    <t>Ending Balances</t>
  </si>
  <si>
    <t>Existing Debt (ST &amp; LT)</t>
  </si>
  <si>
    <t>Total Ending Debt Balance</t>
  </si>
  <si>
    <t>Cash Interest Expense</t>
  </si>
  <si>
    <t>Total Interest Expense</t>
  </si>
  <si>
    <t xml:space="preserve">Fees </t>
  </si>
  <si>
    <t>Equity Schedule</t>
  </si>
  <si>
    <t>BOP</t>
  </si>
  <si>
    <t>Equity Issuance / (Repurchase)</t>
  </si>
  <si>
    <t>EOP</t>
  </si>
  <si>
    <t>Retained Earnings</t>
  </si>
  <si>
    <t>EOP Balance</t>
  </si>
  <si>
    <t xml:space="preserve">Equity Returns Schedule </t>
  </si>
  <si>
    <t xml:space="preserve">Close </t>
  </si>
  <si>
    <t>Enterprise Value (EV) Calculation</t>
  </si>
  <si>
    <t xml:space="preserve">EBITDA </t>
  </si>
  <si>
    <t xml:space="preserve">Exit Multiple </t>
  </si>
  <si>
    <t>Total Enterprise Value (TEV)</t>
  </si>
  <si>
    <t>Net Debt Calculation</t>
  </si>
  <si>
    <t xml:space="preserve">(+) Total Debt </t>
  </si>
  <si>
    <t xml:space="preserve">(-) Cash and Cash Equivalents </t>
  </si>
  <si>
    <t xml:space="preserve">Total Net Debt </t>
  </si>
  <si>
    <t xml:space="preserve">Equity Value Bridge </t>
  </si>
  <si>
    <t xml:space="preserve">(+) Total Enterpise Value </t>
  </si>
  <si>
    <t xml:space="preserve">(-) Total Net Debt </t>
  </si>
  <si>
    <t xml:space="preserve">Total Equity Value </t>
  </si>
  <si>
    <t>`</t>
  </si>
  <si>
    <t xml:space="preserve">Investment Horizon </t>
  </si>
  <si>
    <t>IRR</t>
  </si>
  <si>
    <t xml:space="preserve">MOIC </t>
  </si>
  <si>
    <t>Appendix</t>
  </si>
  <si>
    <t>Deal Valuation</t>
  </si>
  <si>
    <t>All Figures are in USD $M, Except for Per Share Basis</t>
  </si>
  <si>
    <t>Renegotiation</t>
  </si>
  <si>
    <t>Completion</t>
  </si>
  <si>
    <t xml:space="preserve">Value Per Share </t>
  </si>
  <si>
    <t>Shareholders Consideration</t>
  </si>
  <si>
    <t xml:space="preserve">Deal Value </t>
  </si>
  <si>
    <t xml:space="preserve">Transaction Value </t>
  </si>
  <si>
    <t xml:space="preserve">Transaction Value (As Reported) </t>
  </si>
  <si>
    <t xml:space="preserve"> NA</t>
  </si>
  <si>
    <t xml:space="preserve">Gross Transaction Value </t>
  </si>
  <si>
    <t xml:space="preserve">Implied Equity Value </t>
  </si>
  <si>
    <t xml:space="preserve">Implied Enterprise Value </t>
  </si>
  <si>
    <t xml:space="preserve">Percent of Equity Ownership Acquired </t>
  </si>
  <si>
    <t>General Ratios</t>
  </si>
  <si>
    <t>This Deal</t>
  </si>
  <si>
    <t>Industry Avg.</t>
  </si>
  <si>
    <t>Implied EV/Revenue (x)</t>
  </si>
  <si>
    <t>Implied EV/EBITDA (x)</t>
  </si>
  <si>
    <t>Implied EV/EBIT (x)</t>
  </si>
  <si>
    <t xml:space="preserve">Estimates and Pricing Ratios </t>
  </si>
  <si>
    <t>Implied EV/NTM Revenue (x)</t>
  </si>
  <si>
    <t>Implied EV/NTM EBITDA (x)</t>
  </si>
  <si>
    <t>Implied EV/NTM EBIT (x)</t>
  </si>
  <si>
    <t>Price/ Forward EPS (x)</t>
  </si>
  <si>
    <t>Price/ Next Fiscal Year Book Value Per Share (x)</t>
  </si>
  <si>
    <t>Deal Value/Estimated EPS (x)</t>
  </si>
  <si>
    <t>Deal Value/EPS Estimate Next FY (x)</t>
  </si>
  <si>
    <t>Deal Value/ 52-Week High Price (%)</t>
  </si>
  <si>
    <t>Consideration Breakout</t>
  </si>
  <si>
    <t>All Figures are in USD $000, Except for Per Share Basis</t>
  </si>
  <si>
    <t>Consideration Type</t>
  </si>
  <si>
    <t>Target Security Type</t>
  </si>
  <si>
    <t>Shares Acquired (actual)</t>
  </si>
  <si>
    <t>Value/Share</t>
  </si>
  <si>
    <t>Total Value</t>
  </si>
  <si>
    <t>Cash</t>
  </si>
  <si>
    <t>Class A Common Stock (Common Equity)</t>
  </si>
  <si>
    <t>Class B Common Stock (Common Equity)</t>
  </si>
  <si>
    <t>PSUs (Common Equity)</t>
  </si>
  <si>
    <t>RSUs (Common Equity)</t>
  </si>
  <si>
    <t>Security Consideration</t>
  </si>
  <si>
    <t>Cash Consideration Value ($000)</t>
  </si>
  <si>
    <t>Other Consideration</t>
  </si>
  <si>
    <t>Net Debt Assumed ($000)</t>
  </si>
  <si>
    <t>Financial Senior Debt</t>
  </si>
  <si>
    <t>Termination Conditions</t>
  </si>
  <si>
    <t xml:space="preserve">Maximum Termination Fee </t>
  </si>
  <si>
    <t>Deal Breakup Fee Seller (%)</t>
  </si>
  <si>
    <t xml:space="preserve">Deal Breakup Fee Buyer </t>
  </si>
  <si>
    <t>Guidance</t>
  </si>
  <si>
    <t>FQ1 24 - Mar 24</t>
  </si>
  <si>
    <t>FQ2 24 - Jun 24</t>
  </si>
  <si>
    <t>274.00 - 277.00</t>
  </si>
  <si>
    <t>291.00 - 294.00</t>
  </si>
  <si>
    <t xml:space="preserve">                Guidance</t>
  </si>
  <si>
    <t xml:space="preserve">        As Of Guidance</t>
  </si>
  <si>
    <t xml:space="preserve">                Guidance Date</t>
  </si>
  <si>
    <t>2/28/2024</t>
  </si>
  <si>
    <t>5/7/2024</t>
  </si>
  <si>
    <t xml:space="preserve">                Consensus Estimate</t>
  </si>
  <si>
    <t xml:space="preserve">                        % Difference</t>
  </si>
  <si>
    <t xml:space="preserve">                Days before actual</t>
  </si>
  <si>
    <t xml:space="preserve">        Actual/Latest</t>
  </si>
  <si>
    <t xml:space="preserve">                Actual/Latest Date</t>
  </si>
  <si>
    <t>8/2/2024</t>
  </si>
  <si>
    <t xml:space="preserve">                Actual</t>
  </si>
  <si>
    <t>Cash From Operations</t>
  </si>
  <si>
    <t>77.00 - 81.00</t>
  </si>
  <si>
    <t>55.00 - 59.00</t>
  </si>
  <si>
    <t>Free Cash Flow</t>
  </si>
  <si>
    <t>83.00 - 86.00</t>
  </si>
  <si>
    <t>61.00 - 64.00</t>
  </si>
  <si>
    <t>Capital Expenditures</t>
  </si>
  <si>
    <t>2.00 - 3.00</t>
  </si>
  <si>
    <t>Consensus</t>
  </si>
  <si>
    <t>Company Level ($M)</t>
  </si>
  <si>
    <t>FQ3 24 - Sep 24</t>
  </si>
  <si>
    <t>FQ4 24 - Dec 24</t>
  </si>
  <si>
    <t>FY 24 - Dec 24</t>
  </si>
  <si>
    <t>281.15 A</t>
  </si>
  <si>
    <t>296.77 A</t>
  </si>
  <si>
    <t>NA</t>
  </si>
  <si>
    <t>Actuals/Estimates</t>
  </si>
  <si>
    <t>Final Est.</t>
  </si>
  <si>
    <t>276.33 E</t>
  </si>
  <si>
    <t>293.18 E</t>
  </si>
  <si>
    <t>Median</t>
  </si>
  <si>
    <t>276.02 E</t>
  </si>
  <si>
    <t>293.00 E</t>
  </si>
  <si>
    <t>High</t>
  </si>
  <si>
    <t>280.08 E</t>
  </si>
  <si>
    <t>294.30 E</t>
  </si>
  <si>
    <t>Low</t>
  </si>
  <si>
    <t>274.93 E</t>
  </si>
  <si>
    <t>292.28 E</t>
  </si>
  <si>
    <t>Selling, General and Administrative Expense</t>
  </si>
  <si>
    <t>148.36 A</t>
  </si>
  <si>
    <t>127.16 A</t>
  </si>
  <si>
    <t>131.00 E</t>
  </si>
  <si>
    <t>110.00 E</t>
  </si>
  <si>
    <t>Research &amp; Development</t>
  </si>
  <si>
    <t>51.20 A</t>
  </si>
  <si>
    <t>50.78 A</t>
  </si>
  <si>
    <t>51.97 E</t>
  </si>
  <si>
    <t>53.35 E</t>
  </si>
  <si>
    <t>207.53 E</t>
  </si>
  <si>
    <t>49.50 E</t>
  </si>
  <si>
    <t>52.07 E</t>
  </si>
  <si>
    <t>48.97 E</t>
  </si>
  <si>
    <t>52.10 E</t>
  </si>
  <si>
    <t>52.20 E</t>
  </si>
  <si>
    <t>53.15 E</t>
  </si>
  <si>
    <t>207.85 E</t>
  </si>
  <si>
    <t>54.10 E</t>
  </si>
  <si>
    <t>53.60 E</t>
  </si>
  <si>
    <t>52.60 E</t>
  </si>
  <si>
    <t>54.70 E</t>
  </si>
  <si>
    <t>209.20 E</t>
  </si>
  <si>
    <t>47.97 E</t>
  </si>
  <si>
    <t>50.95 E</t>
  </si>
  <si>
    <t>50.88 E</t>
  </si>
  <si>
    <t>52.38 E</t>
  </si>
  <si>
    <t>205.24 E</t>
  </si>
  <si>
    <t>32.01 A</t>
  </si>
  <si>
    <t>72.08 A</t>
  </si>
  <si>
    <t>43.04 E</t>
  </si>
  <si>
    <t>71.49 E</t>
  </si>
  <si>
    <t>43.75 E</t>
  </si>
  <si>
    <t>70.27 E</t>
  </si>
  <si>
    <t>51.77 E</t>
  </si>
  <si>
    <t>79.00 E</t>
  </si>
  <si>
    <t>29.90 E</t>
  </si>
  <si>
    <t>62.90 E</t>
  </si>
  <si>
    <t>EBIT</t>
  </si>
  <si>
    <t>13.34 A</t>
  </si>
  <si>
    <t>53.87 A</t>
  </si>
  <si>
    <t>31.18 E</t>
  </si>
  <si>
    <t>56.26 E</t>
  </si>
  <si>
    <t>28.20 E</t>
  </si>
  <si>
    <t>58.06 E</t>
  </si>
  <si>
    <t>49.27 E</t>
  </si>
  <si>
    <t>66.00 E</t>
  </si>
  <si>
    <t>18.70 E</t>
  </si>
  <si>
    <t>43.90 E</t>
  </si>
  <si>
    <t>10.38 A</t>
  </si>
  <si>
    <t>10.16 A</t>
  </si>
  <si>
    <t>9.08 E</t>
  </si>
  <si>
    <t>9.51 E</t>
  </si>
  <si>
    <t>9.00 E</t>
  </si>
  <si>
    <t>10.19 E</t>
  </si>
  <si>
    <t>10.47 E</t>
  </si>
  <si>
    <t>10.50 E</t>
  </si>
  <si>
    <t>8.00 E</t>
  </si>
  <si>
    <t>7.80 E</t>
  </si>
  <si>
    <t>EBT Normalised</t>
  </si>
  <si>
    <t>7.54 A</t>
  </si>
  <si>
    <t>48.16 A</t>
  </si>
  <si>
    <t>23.48 E</t>
  </si>
  <si>
    <t>51.34 E</t>
  </si>
  <si>
    <t>18.12 E</t>
  </si>
  <si>
    <t>51.60 E</t>
  </si>
  <si>
    <t>41.27 E</t>
  </si>
  <si>
    <t>58.00 E</t>
  </si>
  <si>
    <t>11.57 E</t>
  </si>
  <si>
    <t>43.39 E</t>
  </si>
  <si>
    <t>EBT (GAAP)</t>
  </si>
  <si>
    <t>(20.63) A</t>
  </si>
  <si>
    <t>11.17 A</t>
  </si>
  <si>
    <t>(18.69) E</t>
  </si>
  <si>
    <t>13.80 E</t>
  </si>
  <si>
    <t>(20.15) E</t>
  </si>
  <si>
    <t>17.40 E</t>
  </si>
  <si>
    <t>(13.00) E</t>
  </si>
  <si>
    <t>20.40 E</t>
  </si>
  <si>
    <t>(21.45) E</t>
  </si>
  <si>
    <t>3.60 E</t>
  </si>
  <si>
    <t>Effective Tax Rate (%)</t>
  </si>
  <si>
    <t>27.23 E</t>
  </si>
  <si>
    <t>45.08 A</t>
  </si>
  <si>
    <t>25.73 E</t>
  </si>
  <si>
    <t>25.00 E</t>
  </si>
  <si>
    <t>44.40 E</t>
  </si>
  <si>
    <t>44.00 E</t>
  </si>
  <si>
    <t>14.50 E</t>
  </si>
  <si>
    <t>8.90 E</t>
  </si>
  <si>
    <t>Net Income Normalised</t>
  </si>
  <si>
    <t>28.31 A</t>
  </si>
  <si>
    <t>26.45 A</t>
  </si>
  <si>
    <t>18.80 E</t>
  </si>
  <si>
    <t>36.38 E</t>
  </si>
  <si>
    <t>17.87 E</t>
  </si>
  <si>
    <t>34.47 E</t>
  </si>
  <si>
    <t>32.24 E</t>
  </si>
  <si>
    <t>47.00 E</t>
  </si>
  <si>
    <t>7.52 E</t>
  </si>
  <si>
    <t>28.72 E</t>
  </si>
  <si>
    <t>Net Income (GAAP)</t>
  </si>
  <si>
    <t>0.14 A</t>
  </si>
  <si>
    <t>6.13 A</t>
  </si>
  <si>
    <t>(12.72) E</t>
  </si>
  <si>
    <t>6.81 E</t>
  </si>
  <si>
    <t>(14.15) E</t>
  </si>
  <si>
    <t>6.78 E</t>
  </si>
  <si>
    <t>11.19 E</t>
  </si>
  <si>
    <t>13.90 E</t>
  </si>
  <si>
    <t>(36.60) E</t>
  </si>
  <si>
    <t>(0.20) E</t>
  </si>
  <si>
    <t>314.99 A</t>
  </si>
  <si>
    <t>357.75 A</t>
  </si>
  <si>
    <t>382.41 E</t>
  </si>
  <si>
    <t>418.45 E</t>
  </si>
  <si>
    <t>18.67 A</t>
  </si>
  <si>
    <t>18.21 A</t>
  </si>
  <si>
    <t>15.54 E</t>
  </si>
  <si>
    <t>17.02 E</t>
  </si>
  <si>
    <t>16.00 E</t>
  </si>
  <si>
    <t>19.00 E</t>
  </si>
  <si>
    <t>22.00 E</t>
  </si>
  <si>
    <t>20.00 E</t>
  </si>
  <si>
    <t>8.27 E</t>
  </si>
  <si>
    <t>85.22 A</t>
  </si>
  <si>
    <t>60.63 A</t>
  </si>
  <si>
    <t>78.99 E</t>
  </si>
  <si>
    <t>58.05 E</t>
  </si>
  <si>
    <t>57.90 E</t>
  </si>
  <si>
    <t>79.88 E</t>
  </si>
  <si>
    <t>60.00 E</t>
  </si>
  <si>
    <t>78.40 E</t>
  </si>
  <si>
    <t>57.02 E</t>
  </si>
  <si>
    <t>81.83 A</t>
  </si>
  <si>
    <t>57.94 A</t>
  </si>
  <si>
    <t>81.81 E</t>
  </si>
  <si>
    <t>60.08 E</t>
  </si>
  <si>
    <t>83.95 E</t>
  </si>
  <si>
    <t>62.17 E</t>
  </si>
  <si>
    <t>86.10 E</t>
  </si>
  <si>
    <t>63.00 E</t>
  </si>
  <si>
    <t>73.00 E</t>
  </si>
  <si>
    <t>55.30 E</t>
  </si>
  <si>
    <t>3.39 A</t>
  </si>
  <si>
    <t>2.69 A</t>
  </si>
  <si>
    <t>2.75 E</t>
  </si>
  <si>
    <t>2.33 E</t>
  </si>
  <si>
    <t>2.76 E</t>
  </si>
  <si>
    <t>2.10 E</t>
  </si>
  <si>
    <t>3.00 E</t>
  </si>
  <si>
    <t>4.00 E</t>
  </si>
  <si>
    <t>2.50 E</t>
  </si>
  <si>
    <t>0.85 E</t>
  </si>
  <si>
    <t>Gross Margin (%)</t>
  </si>
  <si>
    <t>71.27 A</t>
  </si>
  <si>
    <t>72.05 A</t>
  </si>
  <si>
    <t>74.91 E</t>
  </si>
  <si>
    <t>73.98 E</t>
  </si>
  <si>
    <t>74.55 E</t>
  </si>
  <si>
    <t>73.68 E</t>
  </si>
  <si>
    <t>80.80 E</t>
  </si>
  <si>
    <t>77.00 E</t>
  </si>
  <si>
    <t>72.00 E</t>
  </si>
  <si>
    <t>72.50 E</t>
  </si>
  <si>
    <t>Industry Specific ($M)</t>
  </si>
  <si>
    <t>Average Revenue Per User</t>
  </si>
  <si>
    <t>226.63 A</t>
  </si>
  <si>
    <t>225.45 A</t>
  </si>
  <si>
    <t>236.46 E</t>
  </si>
  <si>
    <t>59.24 E</t>
  </si>
  <si>
    <t>147.40 E</t>
  </si>
  <si>
    <t>238.57 E</t>
  </si>
  <si>
    <t>235.51 E</t>
  </si>
  <si>
    <t>241.00 E</t>
  </si>
  <si>
    <t>59.29 E</t>
  </si>
  <si>
    <t>229.81 E</t>
  </si>
  <si>
    <t>Net Additions</t>
  </si>
  <si>
    <t>59,000.00 E</t>
  </si>
  <si>
    <t>60,000.00 E</t>
  </si>
  <si>
    <t>Number of Subscribers (000)</t>
  </si>
  <si>
    <t>4,912.00 A</t>
  </si>
  <si>
    <t>5,195.00 A</t>
  </si>
  <si>
    <t>4,698.00 E</t>
  </si>
  <si>
    <t>4,967.00 E</t>
  </si>
  <si>
    <t>4,706.00 E</t>
  </si>
  <si>
    <t>4,972.00 E</t>
  </si>
  <si>
    <t>4,690.00 E</t>
  </si>
  <si>
    <t>4,962.00 E</t>
  </si>
  <si>
    <t>Tender offer agreement </t>
  </si>
  <si>
    <t>https://www.sec.gov/Archives/edgar/data/1496963/000114036124043334/ny20035858x6_sctota.htm </t>
  </si>
  <si>
    <t>Going private transaction </t>
  </si>
  <si>
    <t>https://www.sec.gov/Archives/edgar/data/1496963/000114036124042502/ny20030653x21_sc13e3a.htm </t>
  </si>
  <si>
    <t>Commitment letter </t>
  </si>
  <si>
    <t>https://www.sec.gov/Archives/edgar/data/1496963/000114036124038166/ny20030653x10_ex16bvi.htm </t>
  </si>
  <si>
    <t>2022 10K </t>
  </si>
  <si>
    <t>https://www.sec.gov/Archives/edgar/data/1496963/000149696323000010/sqsp-20221231.htm </t>
  </si>
  <si>
    <t>2023 10k </t>
  </si>
  <si>
    <t>https://www.sec.gov/Archives/edgar/data/1496963/000149696324000010/sqsp-20231231.htm </t>
  </si>
  <si>
    <t>2021 10Q </t>
  </si>
  <si>
    <t>https://www.sec.gov/Archives/edgar/data/1496963/000149696321000003/sqsp-20210630.htm#ibd2804b19a4a48c6bb0f7fa3c3deccc5_34 </t>
  </si>
  <si>
    <t>Squarespace, Inc. | Income Statement (As Reported)</t>
  </si>
  <si>
    <t>(MI KEY: 5164807; SPCIQ KEY: 51281658)</t>
  </si>
  <si>
    <t>Source: Recommended</t>
  </si>
  <si>
    <t>Period Category: Fiscal</t>
  </si>
  <si>
    <t>Period Type: Years</t>
  </si>
  <si>
    <t>Sort Order: Latest on Right</t>
  </si>
  <si>
    <t>Currency: U.S. Dollar (USD)</t>
  </si>
  <si>
    <t>Recommended: S&amp;P Capital IQ - Standard</t>
  </si>
  <si>
    <t>2019 FY</t>
  </si>
  <si>
    <t>2020 FY</t>
  </si>
  <si>
    <t>2021 FY</t>
  </si>
  <si>
    <t>2022 FY</t>
  </si>
  <si>
    <t>2023 FY</t>
  </si>
  <si>
    <t>2024 FQ1</t>
  </si>
  <si>
    <t>2024 FQ2</t>
  </si>
  <si>
    <t>Period Ended</t>
  </si>
  <si>
    <t>Currency</t>
  </si>
  <si>
    <t>USD</t>
  </si>
  <si>
    <t>Thousands</t>
  </si>
  <si>
    <t>Revenues</t>
  </si>
  <si>
    <t>Expenses</t>
  </si>
  <si>
    <t>Cost of Revenues</t>
  </si>
  <si>
    <t>Marketing and Sales</t>
  </si>
  <si>
    <t>General and Administrative</t>
  </si>
  <si>
    <t>Other Income/loss</t>
  </si>
  <si>
    <t>Earnings before Taxes</t>
  </si>
  <si>
    <t>Taxes and Other Expenses</t>
  </si>
  <si>
    <t>Net Income (Loss)</t>
  </si>
  <si>
    <t>Supplementary Info</t>
  </si>
  <si>
    <t>Charges on Net Income</t>
  </si>
  <si>
    <t>Gross Profit/loss</t>
  </si>
  <si>
    <t>Dividends on Preferred Stock</t>
  </si>
  <si>
    <t>Operating Income (Loss)</t>
  </si>
  <si>
    <t>Preferred Stock Adjustments</t>
  </si>
  <si>
    <t>Basic EPS - Continuing Operations</t>
  </si>
  <si>
    <t>Diluted EPS - Continuing Operations</t>
  </si>
  <si>
    <t>Net Income Available to Common Shareholders</t>
  </si>
  <si>
    <t>Data shown on this page is extracted directly from the company’s documents. S&amp;P Global Market Intelligence makes every effort to line up fields, captions and headers that represent the same data over time, despite variations in how the company may report these items in different documents. In certain instances the variation in the company’s presentation over time may be too significant, potentially resulting in repeating and/or disordered items. Despite possible issues with the presentation, S&amp;P Global Market Intelligence, as always, stands by its commitment to the quality of the data.</t>
  </si>
  <si>
    <t>Squarespace, Inc. | Balance Sheet (As Reported)</t>
  </si>
  <si>
    <t>12/31/2019</t>
  </si>
  <si>
    <t>12/31/2020</t>
  </si>
  <si>
    <t>12/31/2021</t>
  </si>
  <si>
    <t>12/31/2022</t>
  </si>
  <si>
    <t>12/31/2023</t>
  </si>
  <si>
    <t>Investment in Marketable Securities</t>
  </si>
  <si>
    <t>Property and Equipment, net</t>
  </si>
  <si>
    <t>Assets of Business Held for Sale</t>
  </si>
  <si>
    <t>Debt, Non-current Portion</t>
  </si>
  <si>
    <t>Liabilities of Business Held for Sale</t>
  </si>
  <si>
    <t>Additio0l Paid in Capital</t>
  </si>
  <si>
    <t>Accumulated Deficit</t>
  </si>
  <si>
    <t>Squarespace, Inc. | Cash Flow (As Reported)</t>
  </si>
  <si>
    <t>Depreciation and Amortization</t>
  </si>
  <si>
    <t>Non-cash Lease Income/expense</t>
  </si>
  <si>
    <t>Principal Payments on Debt</t>
  </si>
  <si>
    <t>Effective Date</t>
  </si>
  <si>
    <t>Rate Type</t>
  </si>
  <si>
    <t>Rate (%)</t>
  </si>
  <si>
    <t>1st Percentile (%)</t>
  </si>
  <si>
    <t>25th Percentile (%)</t>
  </si>
  <si>
    <t>75th Percentile (%)</t>
  </si>
  <si>
    <t>99th Percentile (%)</t>
  </si>
  <si>
    <t>Volume ($Billions)</t>
  </si>
  <si>
    <t>12/19/2025</t>
  </si>
  <si>
    <t>SOFR</t>
  </si>
  <si>
    <t>12/18/2025</t>
  </si>
  <si>
    <t>12/17/2025</t>
  </si>
  <si>
    <t>12/16/2025</t>
  </si>
  <si>
    <t>12/15/2025</t>
  </si>
  <si>
    <t>3 month SOFR Rates</t>
  </si>
  <si>
    <t>12/12/2025</t>
  </si>
  <si>
    <t>Jan</t>
  </si>
  <si>
    <t>12/11/2025</t>
  </si>
  <si>
    <t>Apr</t>
  </si>
  <si>
    <t>12/10/2025</t>
  </si>
  <si>
    <t>Jul</t>
  </si>
  <si>
    <t>12/09/2025</t>
  </si>
  <si>
    <t>Oct</t>
  </si>
  <si>
    <t>12/08/2025</t>
  </si>
  <si>
    <t>12/05/2025</t>
  </si>
  <si>
    <t>12/04/2025</t>
  </si>
  <si>
    <t>12/03/2025</t>
  </si>
  <si>
    <t>12/02/2025</t>
  </si>
  <si>
    <t>12/01/2025</t>
  </si>
  <si>
    <t>11/28/2025</t>
  </si>
  <si>
    <t>11/26/2025</t>
  </si>
  <si>
    <t>11/25/2025</t>
  </si>
  <si>
    <t>11/24/2025</t>
  </si>
  <si>
    <t>11/21/2025</t>
  </si>
  <si>
    <t>11/20/2025</t>
  </si>
  <si>
    <t>11/19/2025</t>
  </si>
  <si>
    <t>11/18/2025</t>
  </si>
  <si>
    <t>11/17/2025</t>
  </si>
  <si>
    <t>11/14/2025</t>
  </si>
  <si>
    <t>11/13/2025</t>
  </si>
  <si>
    <t>11/12/2025</t>
  </si>
  <si>
    <t>11/10/2025</t>
  </si>
  <si>
    <t>11/07/2025</t>
  </si>
  <si>
    <t>11/06/2025</t>
  </si>
  <si>
    <t>11/05/2025</t>
  </si>
  <si>
    <t>11/04/2025</t>
  </si>
  <si>
    <t>11/03/2025</t>
  </si>
  <si>
    <t>10/31/2025</t>
  </si>
  <si>
    <t>10/30/2025</t>
  </si>
  <si>
    <t>10/29/2025</t>
  </si>
  <si>
    <t>10/28/2025</t>
  </si>
  <si>
    <t>10/27/2025</t>
  </si>
  <si>
    <t>10/24/2025</t>
  </si>
  <si>
    <t>10/23/2025</t>
  </si>
  <si>
    <t>10/22/2025</t>
  </si>
  <si>
    <t>10/21/2025</t>
  </si>
  <si>
    <t>10/20/2025</t>
  </si>
  <si>
    <t>10/17/2025</t>
  </si>
  <si>
    <t>10/16/2025</t>
  </si>
  <si>
    <t>10/15/2025</t>
  </si>
  <si>
    <t>10/14/2025</t>
  </si>
  <si>
    <t>10/10/2025</t>
  </si>
  <si>
    <t>10/09/2025</t>
  </si>
  <si>
    <t>10/08/2025</t>
  </si>
  <si>
    <t>10/07/2025</t>
  </si>
  <si>
    <t>10/06/2025</t>
  </si>
  <si>
    <t>10/03/2025</t>
  </si>
  <si>
    <t>10/02/2025</t>
  </si>
  <si>
    <t>10/01/2025</t>
  </si>
  <si>
    <t>09/30/2025</t>
  </si>
  <si>
    <t>09/29/2025</t>
  </si>
  <si>
    <t>09/26/2025</t>
  </si>
  <si>
    <t>09/25/2025</t>
  </si>
  <si>
    <t>09/24/2025</t>
  </si>
  <si>
    <t>09/23/2025</t>
  </si>
  <si>
    <t>09/22/2025</t>
  </si>
  <si>
    <t>09/19/2025</t>
  </si>
  <si>
    <t>09/18/2025</t>
  </si>
  <si>
    <t>09/17/2025</t>
  </si>
  <si>
    <t>09/16/2025</t>
  </si>
  <si>
    <t>09/15/2025</t>
  </si>
  <si>
    <t>09/12/2025</t>
  </si>
  <si>
    <t>09/11/2025</t>
  </si>
  <si>
    <t>09/10/2025</t>
  </si>
  <si>
    <t>09/09/2025</t>
  </si>
  <si>
    <t>09/08/2025</t>
  </si>
  <si>
    <t>09/05/2025</t>
  </si>
  <si>
    <t>09/04/2025</t>
  </si>
  <si>
    <t>09/03/2025</t>
  </si>
  <si>
    <t>09/02/2025</t>
  </si>
  <si>
    <t>08/29/2025</t>
  </si>
  <si>
    <t>08/28/2025</t>
  </si>
  <si>
    <t>08/27/2025</t>
  </si>
  <si>
    <t>08/26/2025</t>
  </si>
  <si>
    <t>08/25/2025</t>
  </si>
  <si>
    <t>08/22/2025</t>
  </si>
  <si>
    <t>08/21/2025</t>
  </si>
  <si>
    <t>08/20/2025</t>
  </si>
  <si>
    <t>08/19/2025</t>
  </si>
  <si>
    <t>08/18/2025</t>
  </si>
  <si>
    <t>08/15/2025</t>
  </si>
  <si>
    <t>08/14/2025</t>
  </si>
  <si>
    <t>08/13/2025</t>
  </si>
  <si>
    <t>08/12/2025</t>
  </si>
  <si>
    <t>08/11/2025</t>
  </si>
  <si>
    <t>08/08/2025</t>
  </si>
  <si>
    <t>08/07/2025</t>
  </si>
  <si>
    <t>08/06/2025</t>
  </si>
  <si>
    <t>08/05/2025</t>
  </si>
  <si>
    <t>08/04/2025</t>
  </si>
  <si>
    <t>08/01/2025</t>
  </si>
  <si>
    <t>07/31/2025</t>
  </si>
  <si>
    <t>07/30/2025</t>
  </si>
  <si>
    <t>07/29/2025</t>
  </si>
  <si>
    <t>07/28/2025</t>
  </si>
  <si>
    <t>07/25/2025</t>
  </si>
  <si>
    <t>07/24/2025</t>
  </si>
  <si>
    <t>07/23/2025</t>
  </si>
  <si>
    <t>07/22/2025</t>
  </si>
  <si>
    <t>07/21/2025</t>
  </si>
  <si>
    <t>07/18/2025</t>
  </si>
  <si>
    <t>07/17/2025</t>
  </si>
  <si>
    <t>07/16/2025</t>
  </si>
  <si>
    <t>07/15/2025</t>
  </si>
  <si>
    <t>07/14/2025</t>
  </si>
  <si>
    <t>07/11/2025</t>
  </si>
  <si>
    <t>07/10/2025</t>
  </si>
  <si>
    <t>07/09/2025</t>
  </si>
  <si>
    <t>07/08/2025</t>
  </si>
  <si>
    <t>07/07/2025</t>
  </si>
  <si>
    <t>07/03/2025</t>
  </si>
  <si>
    <t>07/02/2025</t>
  </si>
  <si>
    <t>07/01/2025</t>
  </si>
  <si>
    <t>06/30/2025</t>
  </si>
  <si>
    <t>06/27/2025</t>
  </si>
  <si>
    <t>06/26/2025</t>
  </si>
  <si>
    <t>06/25/2025</t>
  </si>
  <si>
    <t>06/24/2025</t>
  </si>
  <si>
    <t>06/23/2025</t>
  </si>
  <si>
    <t>06/20/2025</t>
  </si>
  <si>
    <t>06/18/2025</t>
  </si>
  <si>
    <t>06/17/2025</t>
  </si>
  <si>
    <t>06/16/2025</t>
  </si>
  <si>
    <t>06/13/2025</t>
  </si>
  <si>
    <t>06/12/2025</t>
  </si>
  <si>
    <t>06/11/2025</t>
  </si>
  <si>
    <t>06/10/2025</t>
  </si>
  <si>
    <t>06/09/2025</t>
  </si>
  <si>
    <t>06/06/2025</t>
  </si>
  <si>
    <t>06/05/2025</t>
  </si>
  <si>
    <t>06/04/2025</t>
  </si>
  <si>
    <t>06/03/2025</t>
  </si>
  <si>
    <t>06/02/2025</t>
  </si>
  <si>
    <t>05/30/2025</t>
  </si>
  <si>
    <t>05/29/2025</t>
  </si>
  <si>
    <t>05/28/2025</t>
  </si>
  <si>
    <t>05/27/2025</t>
  </si>
  <si>
    <t>05/23/2025</t>
  </si>
  <si>
    <t>05/22/2025</t>
  </si>
  <si>
    <t>05/21/2025</t>
  </si>
  <si>
    <t>05/20/2025</t>
  </si>
  <si>
    <t>05/19/2025</t>
  </si>
  <si>
    <t>05/16/2025</t>
  </si>
  <si>
    <t>05/15/2025</t>
  </si>
  <si>
    <t>05/14/2025</t>
  </si>
  <si>
    <t>05/13/2025</t>
  </si>
  <si>
    <t>05/12/2025</t>
  </si>
  <si>
    <t>05/09/2025</t>
  </si>
  <si>
    <t>05/08/2025</t>
  </si>
  <si>
    <t>05/07/2025</t>
  </si>
  <si>
    <t>05/06/2025</t>
  </si>
  <si>
    <t>05/05/2025</t>
  </si>
  <si>
    <t>05/02/2025</t>
  </si>
  <si>
    <t>05/01/2025</t>
  </si>
  <si>
    <t>04/30/2025</t>
  </si>
  <si>
    <t>04/29/2025</t>
  </si>
  <si>
    <t>04/28/2025</t>
  </si>
  <si>
    <t>04/25/2025</t>
  </si>
  <si>
    <t>04/24/2025</t>
  </si>
  <si>
    <t>04/23/2025</t>
  </si>
  <si>
    <t>04/22/2025</t>
  </si>
  <si>
    <t>04/21/2025</t>
  </si>
  <si>
    <t>04/17/2025</t>
  </si>
  <si>
    <t>04/16/2025</t>
  </si>
  <si>
    <t>04/15/2025</t>
  </si>
  <si>
    <t>04/14/2025</t>
  </si>
  <si>
    <t>04/11/2025</t>
  </si>
  <si>
    <t>04/10/2025</t>
  </si>
  <si>
    <t>04/09/2025</t>
  </si>
  <si>
    <t>04/08/2025</t>
  </si>
  <si>
    <t>04/07/2025</t>
  </si>
  <si>
    <t>04/04/2025</t>
  </si>
  <si>
    <t>04/03/2025</t>
  </si>
  <si>
    <t>04/02/2025</t>
  </si>
  <si>
    <t>04/01/2025</t>
  </si>
  <si>
    <t>03/31/2025</t>
  </si>
  <si>
    <t>03/28/2025</t>
  </si>
  <si>
    <t>03/27/2025</t>
  </si>
  <si>
    <t>03/26/2025</t>
  </si>
  <si>
    <t>03/25/2025</t>
  </si>
  <si>
    <t>03/24/2025</t>
  </si>
  <si>
    <t>03/21/2025</t>
  </si>
  <si>
    <t>03/20/2025</t>
  </si>
  <si>
    <t>03/19/2025</t>
  </si>
  <si>
    <t>03/18/2025</t>
  </si>
  <si>
    <t>03/17/2025</t>
  </si>
  <si>
    <t>03/14/2025</t>
  </si>
  <si>
    <t>03/13/2025</t>
  </si>
  <si>
    <t>03/12/2025</t>
  </si>
  <si>
    <t>03/11/2025</t>
  </si>
  <si>
    <t>03/10/2025</t>
  </si>
  <si>
    <t>03/07/2025</t>
  </si>
  <si>
    <t>03/06/2025</t>
  </si>
  <si>
    <t>03/05/2025</t>
  </si>
  <si>
    <t>03/04/2025</t>
  </si>
  <si>
    <t>03/03/2025</t>
  </si>
  <si>
    <t>02/28/2025</t>
  </si>
  <si>
    <t>02/27/2025</t>
  </si>
  <si>
    <t>02/26/2025</t>
  </si>
  <si>
    <t>02/25/2025</t>
  </si>
  <si>
    <t>02/24/2025</t>
  </si>
  <si>
    <t>02/21/2025</t>
  </si>
  <si>
    <t>02/20/2025</t>
  </si>
  <si>
    <t>02/19/2025</t>
  </si>
  <si>
    <t>02/18/2025</t>
  </si>
  <si>
    <t>02/14/2025</t>
  </si>
  <si>
    <t>02/13/2025</t>
  </si>
  <si>
    <t>02/12/2025</t>
  </si>
  <si>
    <t>02/11/2025</t>
  </si>
  <si>
    <t>02/10/2025</t>
  </si>
  <si>
    <t>02/07/2025</t>
  </si>
  <si>
    <t>02/06/2025</t>
  </si>
  <si>
    <t>02/05/2025</t>
  </si>
  <si>
    <t>02/04/2025</t>
  </si>
  <si>
    <t>02/03/2025</t>
  </si>
  <si>
    <t>01/31/2025</t>
  </si>
  <si>
    <t>01/30/2025</t>
  </si>
  <si>
    <t>01/29/2025</t>
  </si>
  <si>
    <t>01/28/2025</t>
  </si>
  <si>
    <t>01/27/2025</t>
  </si>
  <si>
    <t>01/24/2025</t>
  </si>
  <si>
    <t>01/23/2025</t>
  </si>
  <si>
    <t>01/22/2025</t>
  </si>
  <si>
    <t>01/21/2025</t>
  </si>
  <si>
    <t>01/17/2025</t>
  </si>
  <si>
    <t>01/16/2025</t>
  </si>
  <si>
    <t>01/15/2025</t>
  </si>
  <si>
    <t>01/14/2025</t>
  </si>
  <si>
    <t>01/13/2025</t>
  </si>
  <si>
    <t>01/10/2025</t>
  </si>
  <si>
    <t>01/09/2025</t>
  </si>
  <si>
    <t>01/08/2025</t>
  </si>
  <si>
    <t>01/07/2025</t>
  </si>
  <si>
    <t>01/06/2025</t>
  </si>
  <si>
    <t>01/03/2025</t>
  </si>
  <si>
    <t>01/02/2025</t>
  </si>
  <si>
    <t>12/31/2024</t>
  </si>
  <si>
    <t>12/30/2024</t>
  </si>
  <si>
    <t>12/27/2024</t>
  </si>
  <si>
    <t>12/26/2024</t>
  </si>
  <si>
    <t>12/24/2024</t>
  </si>
  <si>
    <t>12/23/2024</t>
  </si>
  <si>
    <t>12/20/2024</t>
  </si>
  <si>
    <t>12/19/2024</t>
  </si>
  <si>
    <t>12/18/2024</t>
  </si>
  <si>
    <t>12/17/2024</t>
  </si>
  <si>
    <t>12/16/2024</t>
  </si>
  <si>
    <t>12/13/2024</t>
  </si>
  <si>
    <t>12/12/2024</t>
  </si>
  <si>
    <t>12/11/2024</t>
  </si>
  <si>
    <t>12/10/2024</t>
  </si>
  <si>
    <t>12/09/2024</t>
  </si>
  <si>
    <t>12/06/2024</t>
  </si>
  <si>
    <t>12/05/2024</t>
  </si>
  <si>
    <t>12/04/2024</t>
  </si>
  <si>
    <t>12/03/2024</t>
  </si>
  <si>
    <t>12/02/2024</t>
  </si>
  <si>
    <t>11/29/2024</t>
  </si>
  <si>
    <t>11/27/2024</t>
  </si>
  <si>
    <t>11/26/2024</t>
  </si>
  <si>
    <t>11/25/2024</t>
  </si>
  <si>
    <t>11/22/2024</t>
  </si>
  <si>
    <t>11/21/2024</t>
  </si>
  <si>
    <t>11/20/2024</t>
  </si>
  <si>
    <t>11/19/2024</t>
  </si>
  <si>
    <t>11/18/2024</t>
  </si>
  <si>
    <t>11/15/2024</t>
  </si>
  <si>
    <t>11/14/2024</t>
  </si>
  <si>
    <t>11/13/2024</t>
  </si>
  <si>
    <t>11/12/2024</t>
  </si>
  <si>
    <t>11/08/2024</t>
  </si>
  <si>
    <t>11/07/2024</t>
  </si>
  <si>
    <t>11/06/2024</t>
  </si>
  <si>
    <t>11/05/2024</t>
  </si>
  <si>
    <t>11/04/2024</t>
  </si>
  <si>
    <t>11/01/2024</t>
  </si>
  <si>
    <t>10/31/2024</t>
  </si>
  <si>
    <t>10/30/2024</t>
  </si>
  <si>
    <t>10/29/2024</t>
  </si>
  <si>
    <t>10/28/2024</t>
  </si>
  <si>
    <t>10/25/2024</t>
  </si>
  <si>
    <t>10/24/2024</t>
  </si>
  <si>
    <t>10/23/2024</t>
  </si>
  <si>
    <t>10/22/2024</t>
  </si>
  <si>
    <t>10/21/2024</t>
  </si>
  <si>
    <t>10/18/2024</t>
  </si>
  <si>
    <t>10/17/2024</t>
  </si>
  <si>
    <t>10/16/2024</t>
  </si>
  <si>
    <t>10/15/2024</t>
  </si>
  <si>
    <t>10/11/2024</t>
  </si>
  <si>
    <t>10/10/2024</t>
  </si>
  <si>
    <t>10/09/2024</t>
  </si>
  <si>
    <t>10/08/2024</t>
  </si>
  <si>
    <t>10/07/2024</t>
  </si>
  <si>
    <t>10/04/2024</t>
  </si>
  <si>
    <t>10/03/2024</t>
  </si>
  <si>
    <t>10/02/2024</t>
  </si>
  <si>
    <t>10/01/2024</t>
  </si>
  <si>
    <t>09/30/2024</t>
  </si>
  <si>
    <t>09/27/2024</t>
  </si>
  <si>
    <t>09/26/2024</t>
  </si>
  <si>
    <t>09/25/2024</t>
  </si>
  <si>
    <t>09/24/2024</t>
  </si>
  <si>
    <t>09/23/2024</t>
  </si>
  <si>
    <t>09/20/2024</t>
  </si>
  <si>
    <t>09/19/2024</t>
  </si>
  <si>
    <t>09/18/2024</t>
  </si>
  <si>
    <t>09/17/2024</t>
  </si>
  <si>
    <t>09/16/2024</t>
  </si>
  <si>
    <t>09/13/2024</t>
  </si>
  <si>
    <t>09/12/2024</t>
  </si>
  <si>
    <t>09/11/2024</t>
  </si>
  <si>
    <t>09/10/2024</t>
  </si>
  <si>
    <t>09/09/2024</t>
  </si>
  <si>
    <t>09/06/2024</t>
  </si>
  <si>
    <t>09/05/2024</t>
  </si>
  <si>
    <t>09/04/2024</t>
  </si>
  <si>
    <t>09/03/2024</t>
  </si>
  <si>
    <t>08/30/2024</t>
  </si>
  <si>
    <t>08/29/2024</t>
  </si>
  <si>
    <t>08/28/2024</t>
  </si>
  <si>
    <t>08/27/2024</t>
  </si>
  <si>
    <t>08/26/2024</t>
  </si>
  <si>
    <t>08/23/2024</t>
  </si>
  <si>
    <t>08/22/2024</t>
  </si>
  <si>
    <t>08/21/2024</t>
  </si>
  <si>
    <t>08/20/2024</t>
  </si>
  <si>
    <t>08/19/2024</t>
  </si>
  <si>
    <t>08/16/2024</t>
  </si>
  <si>
    <t>08/15/2024</t>
  </si>
  <si>
    <t>08/14/2024</t>
  </si>
  <si>
    <t>08/13/2024</t>
  </si>
  <si>
    <t>08/12/2024</t>
  </si>
  <si>
    <t>08/09/2024</t>
  </si>
  <si>
    <t>08/08/2024</t>
  </si>
  <si>
    <t>08/07/2024</t>
  </si>
  <si>
    <t>08/06/2024</t>
  </si>
  <si>
    <t>08/05/2024</t>
  </si>
  <si>
    <t>08/02/2024</t>
  </si>
  <si>
    <t>08/01/2024</t>
  </si>
  <si>
    <t>07/31/2024</t>
  </si>
  <si>
    <t>07/30/2024</t>
  </si>
  <si>
    <t>07/29/2024</t>
  </si>
  <si>
    <t>07/26/2024</t>
  </si>
  <si>
    <t>07/25/2024</t>
  </si>
  <si>
    <t>07/24/2024</t>
  </si>
  <si>
    <t>07/23/2024</t>
  </si>
  <si>
    <t>07/22/2024</t>
  </si>
  <si>
    <t>07/19/2024</t>
  </si>
  <si>
    <t>07/18/2024</t>
  </si>
  <si>
    <t>07/17/2024</t>
  </si>
  <si>
    <t>07/16/2024</t>
  </si>
  <si>
    <t>07/15/2024</t>
  </si>
  <si>
    <t>07/12/2024</t>
  </si>
  <si>
    <t>07/11/2024</t>
  </si>
  <si>
    <t>07/10/2024</t>
  </si>
  <si>
    <t>07/09/2024</t>
  </si>
  <si>
    <t>07/08/2024</t>
  </si>
  <si>
    <t>07/05/2024</t>
  </si>
  <si>
    <t>07/03/2024</t>
  </si>
  <si>
    <t>07/02/2024</t>
  </si>
  <si>
    <t>07/01/2024</t>
  </si>
  <si>
    <t>06/28/2024</t>
  </si>
  <si>
    <t>06/27/2024</t>
  </si>
  <si>
    <t>06/26/2024</t>
  </si>
  <si>
    <t>06/25/2024</t>
  </si>
  <si>
    <t>06/24/2024</t>
  </si>
  <si>
    <t>06/21/2024</t>
  </si>
  <si>
    <t>06/20/2024</t>
  </si>
  <si>
    <t>06/18/2024</t>
  </si>
  <si>
    <t>06/17/2024</t>
  </si>
  <si>
    <t>06/14/2024</t>
  </si>
  <si>
    <t>06/13/2024</t>
  </si>
  <si>
    <t>06/12/2024</t>
  </si>
  <si>
    <t>06/11/2024</t>
  </si>
  <si>
    <t>06/10/2024</t>
  </si>
  <si>
    <t>06/07/2024</t>
  </si>
  <si>
    <t>06/06/2024</t>
  </si>
  <si>
    <t>06/05/2024</t>
  </si>
  <si>
    <t>06/04/2024</t>
  </si>
  <si>
    <t>06/03/2024</t>
  </si>
  <si>
    <t>05/31/2024</t>
  </si>
  <si>
    <t>05/30/2024</t>
  </si>
  <si>
    <t>05/29/2024</t>
  </si>
  <si>
    <t>05/28/2024</t>
  </si>
  <si>
    <t>05/24/2024</t>
  </si>
  <si>
    <t>05/23/2024</t>
  </si>
  <si>
    <t>05/22/2024</t>
  </si>
  <si>
    <t>05/21/2024</t>
  </si>
  <si>
    <t>05/20/2024</t>
  </si>
  <si>
    <t>05/17/2024</t>
  </si>
  <si>
    <t>05/16/2024</t>
  </si>
  <si>
    <t>05/15/2024</t>
  </si>
  <si>
    <t>05/14/2024</t>
  </si>
  <si>
    <t>05/13/2024</t>
  </si>
  <si>
    <t>05/10/2024</t>
  </si>
  <si>
    <t>05/09/2024</t>
  </si>
  <si>
    <t>05/08/2024</t>
  </si>
  <si>
    <t>05/07/2024</t>
  </si>
  <si>
    <t>05/06/2024</t>
  </si>
  <si>
    <t>05/03/2024</t>
  </si>
  <si>
    <t>05/02/2024</t>
  </si>
  <si>
    <t>05/01/2024</t>
  </si>
  <si>
    <t>04/30/2024</t>
  </si>
  <si>
    <t>04/29/2024</t>
  </si>
  <si>
    <t>04/26/2024</t>
  </si>
  <si>
    <t>04/25/2024</t>
  </si>
  <si>
    <t>04/24/2024</t>
  </si>
  <si>
    <t>04/23/2024</t>
  </si>
  <si>
    <t>04/22/2024</t>
  </si>
  <si>
    <t>04/19/2024</t>
  </si>
  <si>
    <t>04/18/2024</t>
  </si>
  <si>
    <t>04/17/2024</t>
  </si>
  <si>
    <t>04/16/2024</t>
  </si>
  <si>
    <t>04/15/2024</t>
  </si>
  <si>
    <t>04/12/2024</t>
  </si>
  <si>
    <t>04/11/2024</t>
  </si>
  <si>
    <t>04/10/2024</t>
  </si>
  <si>
    <t>04/09/2024</t>
  </si>
  <si>
    <t>04/08/2024</t>
  </si>
  <si>
    <t>04/05/2024</t>
  </si>
  <si>
    <t>04/04/2024</t>
  </si>
  <si>
    <t>04/03/2024</t>
  </si>
  <si>
    <t>04/02/2024</t>
  </si>
  <si>
    <t>04/01/2024</t>
  </si>
  <si>
    <t>03/28/2024</t>
  </si>
  <si>
    <t>03/27/2024</t>
  </si>
  <si>
    <t>03/26/2024</t>
  </si>
  <si>
    <t>03/25/2024</t>
  </si>
  <si>
    <t>03/22/2024</t>
  </si>
  <si>
    <t>03/21/2024</t>
  </si>
  <si>
    <t>03/20/2024</t>
  </si>
  <si>
    <t>03/19/2024</t>
  </si>
  <si>
    <t>03/18/2024</t>
  </si>
  <si>
    <t>03/15/2024</t>
  </si>
  <si>
    <t>03/14/2024</t>
  </si>
  <si>
    <t>03/13/2024</t>
  </si>
  <si>
    <t>03/12/2024</t>
  </si>
  <si>
    <t>03/11/2024</t>
  </si>
  <si>
    <t>03/08/2024</t>
  </si>
  <si>
    <t>03/07/2024</t>
  </si>
  <si>
    <t>03/06/2024</t>
  </si>
  <si>
    <t>03/05/2024</t>
  </si>
  <si>
    <t>03/04/2024</t>
  </si>
  <si>
    <t>03/01/2024</t>
  </si>
  <si>
    <t>02/29/2024</t>
  </si>
  <si>
    <t>02/28/2024</t>
  </si>
  <si>
    <t>02/27/2024</t>
  </si>
  <si>
    <t>02/26/2024</t>
  </si>
  <si>
    <t>02/23/2024</t>
  </si>
  <si>
    <t>02/22/2024</t>
  </si>
  <si>
    <t>02/21/2024</t>
  </si>
  <si>
    <t>02/20/2024</t>
  </si>
  <si>
    <t>02/16/2024</t>
  </si>
  <si>
    <t>02/15/2024</t>
  </si>
  <si>
    <t>02/14/2024</t>
  </si>
  <si>
    <t>02/13/2024</t>
  </si>
  <si>
    <t>02/12/2024</t>
  </si>
  <si>
    <t>02/09/2024</t>
  </si>
  <si>
    <t>02/08/2024</t>
  </si>
  <si>
    <t>02/07/2024</t>
  </si>
  <si>
    <t>02/06/2024</t>
  </si>
  <si>
    <t>02/05/2024</t>
  </si>
  <si>
    <t>02/02/2024</t>
  </si>
  <si>
    <t>02/01/2024</t>
  </si>
  <si>
    <t>01/31/2024</t>
  </si>
  <si>
    <t>01/30/2024</t>
  </si>
  <si>
    <t>01/29/2024</t>
  </si>
  <si>
    <t>01/26/2024</t>
  </si>
  <si>
    <t>01/25/2024</t>
  </si>
  <si>
    <t>01/24/2024</t>
  </si>
  <si>
    <t>01/23/2024</t>
  </si>
  <si>
    <t>01/22/2024</t>
  </si>
  <si>
    <t>01/19/2024</t>
  </si>
  <si>
    <t>01/18/2024</t>
  </si>
  <si>
    <t>01/17/2024</t>
  </si>
  <si>
    <t>01/16/2024</t>
  </si>
  <si>
    <t>01/12/2024</t>
  </si>
  <si>
    <t>01/11/2024</t>
  </si>
  <si>
    <t>01/10/2024</t>
  </si>
  <si>
    <t>01/09/2024</t>
  </si>
  <si>
    <t>01/08/2024</t>
  </si>
  <si>
    <t>01/05/2024</t>
  </si>
  <si>
    <t>01/04/2024</t>
  </si>
  <si>
    <t>01/03/2024</t>
  </si>
  <si>
    <t>01/02/2024</t>
  </si>
  <si>
    <t/>
  </si>
  <si>
    <t>CAPIQ</t>
  </si>
  <si>
    <t>Entity Name</t>
  </si>
  <si>
    <t>SG&amp;A Margin
(%)</t>
  </si>
  <si>
    <t>EBITDA Margin
(%)</t>
  </si>
  <si>
    <t>TEV/ EBITDA
(x)</t>
  </si>
  <si>
    <t>Market Capitalization
($M)</t>
  </si>
  <si>
    <t>R &amp; D Exp.
($000)</t>
  </si>
  <si>
    <t>Gross Profit
($000)</t>
  </si>
  <si>
    <t>Revenue
($000)</t>
  </si>
  <si>
    <t>SP_ENTITY_NAME</t>
  </si>
  <si>
    <t>IQ_TEV_EBITDA</t>
  </si>
  <si>
    <t>FY2025</t>
  </si>
  <si>
    <t>FY2024</t>
  </si>
  <si>
    <t>FY2023</t>
  </si>
  <si>
    <t>FY2022</t>
  </si>
  <si>
    <t>FY</t>
  </si>
  <si>
    <t>01/22/2026</t>
  </si>
  <si>
    <t>Commerce.com, Inc. (NASDAQGM:CMRC)</t>
  </si>
  <si>
    <t>NM</t>
  </si>
  <si>
    <t>GoDaddy Inc. (NYSE:GDDY)</t>
  </si>
  <si>
    <t>Wix.com Ltd. (NASDAQGS:WIX)</t>
  </si>
  <si>
    <t>Shopify Inc. (NASDAQGS:SHOP)</t>
  </si>
  <si>
    <t>GP Margins</t>
  </si>
  <si>
    <t>Average</t>
  </si>
  <si>
    <t>Minimum</t>
  </si>
  <si>
    <t>COGS Margin</t>
  </si>
  <si>
    <t>Squarespace, Inc.</t>
  </si>
  <si>
    <t>R&amp;D Margins</t>
  </si>
  <si>
    <t>SG&amp;A Margins</t>
  </si>
  <si>
    <t>No. of Subscription/Enterprise Accounts/No.of Users</t>
  </si>
  <si>
    <t>ARPU/ARPA</t>
  </si>
  <si>
    <t xml:space="preserve">Annual Reports </t>
  </si>
  <si>
    <t>Growth Rates</t>
  </si>
  <si>
    <t>SP_TEV_EBITDA_FWD</t>
  </si>
  <si>
    <t>LTM</t>
  </si>
  <si>
    <t>FY2026</t>
  </si>
  <si>
    <t>Peer Group 1 - Core Comps</t>
  </si>
  <si>
    <t>Peer Group 2 - Non-Core Comps</t>
  </si>
  <si>
    <t>CSG Systems International, Inc. (NASDAQGS:CSGS)</t>
  </si>
  <si>
    <t>Web.com Group, Inc.</t>
  </si>
  <si>
    <t>Klaviyo, Inc. (NYSE:KVYO)</t>
  </si>
  <si>
    <t>Asana, Inc. (NYSE:ASAN)</t>
  </si>
  <si>
    <t>Freshworks Inc. (NASDAQGS:FRSH)</t>
  </si>
  <si>
    <t>Lightspeed Commerce Inc. (TSX:LSPD)</t>
  </si>
  <si>
    <t>Paylocity Holding Corporation (NASDAQGS:PCTY)</t>
  </si>
  <si>
    <t>HubSpot, Inc. (NYSE:HUBS)</t>
  </si>
  <si>
    <t>Autodesk, Inc. (NASDAQGS:ADSK)</t>
  </si>
  <si>
    <t>Toast, Inc. (NYSE:TOST)</t>
  </si>
  <si>
    <t>Workday, Inc. (NASDAQGS:WDAY)</t>
  </si>
  <si>
    <t xml:space="preserve">Number of users growth </t>
  </si>
  <si>
    <t>ARPU growth</t>
  </si>
  <si>
    <t>Net Retention Rates</t>
  </si>
  <si>
    <t>Total recurring revenue growth</t>
  </si>
  <si>
    <t>Total non-recurring revenue growth</t>
  </si>
  <si>
    <t>TEV/EBITDA</t>
  </si>
  <si>
    <t>AR days</t>
  </si>
  <si>
    <t>AP Days</t>
  </si>
  <si>
    <t>Prepaid Expense(%sales)</t>
  </si>
  <si>
    <t>Accrued Liabilities (%sales)</t>
  </si>
  <si>
    <t>Deferred revenue (%sales)</t>
  </si>
  <si>
    <t>2025FY</t>
  </si>
  <si>
    <t>Commerce</t>
  </si>
  <si>
    <t>Commerce.com</t>
  </si>
  <si>
    <t>Shopify</t>
  </si>
  <si>
    <t>Core Comps</t>
  </si>
  <si>
    <t>Web-hosting</t>
  </si>
  <si>
    <t>Wix.com</t>
  </si>
  <si>
    <t>GoDaddy</t>
  </si>
  <si>
    <t xml:space="preserve">Mean </t>
  </si>
  <si>
    <t>Lightspeed Commerce</t>
  </si>
  <si>
    <t>Marketing/Sales</t>
  </si>
  <si>
    <t>HubSpot</t>
  </si>
  <si>
    <t>Klaviyo</t>
  </si>
  <si>
    <t>Toast</t>
  </si>
  <si>
    <t>Freshworks</t>
  </si>
  <si>
    <t>Noncore Comps</t>
  </si>
  <si>
    <t>CSG Systems International</t>
  </si>
  <si>
    <t>Workday</t>
  </si>
  <si>
    <t>Productivity/Finance</t>
  </si>
  <si>
    <t>Asana</t>
  </si>
  <si>
    <t>Paylocity</t>
  </si>
  <si>
    <t>Autodesk</t>
  </si>
  <si>
    <t>(+) Net Income</t>
  </si>
  <si>
    <t>(-) Dividends</t>
  </si>
  <si>
    <t>Permira Equity Injection</t>
  </si>
  <si>
    <t>Acquisition Related Equity Purchase</t>
  </si>
  <si>
    <t>Permira Injection, Net</t>
  </si>
  <si>
    <t>Permira Equity Injection, Net (Equity Schedule)</t>
  </si>
  <si>
    <t>Other Fees</t>
  </si>
  <si>
    <t>Change in Restricted Cash</t>
  </si>
  <si>
    <t>Sources and Uses</t>
  </si>
  <si>
    <t>Equity Offer</t>
  </si>
  <si>
    <t>Sources of Cash</t>
  </si>
  <si>
    <t>Uses of Cash</t>
  </si>
  <si>
    <t>Refinance ST Debt</t>
  </si>
  <si>
    <t>Refinance LT Debt</t>
  </si>
  <si>
    <t>Implied Enterprise Value Offer</t>
  </si>
  <si>
    <t>Total Uses</t>
  </si>
  <si>
    <t>Shares Outstanding (000s)</t>
  </si>
  <si>
    <t>US$/Share</t>
  </si>
  <si>
    <t>Current Share Price</t>
  </si>
  <si>
    <t>Proportion of Leverage</t>
  </si>
  <si>
    <t>Premium / (Discount)</t>
  </si>
  <si>
    <t>Overview</t>
  </si>
  <si>
    <t>Equity Investment</t>
  </si>
  <si>
    <t>Internal Rate of Return (IRR)</t>
  </si>
  <si>
    <t>Multiple on Invested Capital (MOIC)</t>
  </si>
  <si>
    <t>Financial Projections</t>
  </si>
  <si>
    <t>CapEx</t>
  </si>
  <si>
    <t>Mandatory Principal Repayments</t>
  </si>
  <si>
    <t>Debt Service Coverage Ratio</t>
  </si>
  <si>
    <t>Return Attribution</t>
  </si>
  <si>
    <t>Entry</t>
  </si>
  <si>
    <t>Exit</t>
  </si>
  <si>
    <t>Change</t>
  </si>
  <si>
    <t>Multiplier</t>
  </si>
  <si>
    <t>MOIC</t>
  </si>
  <si>
    <t>Beginning Equity</t>
  </si>
  <si>
    <t>N/A</t>
  </si>
  <si>
    <t>Ending Equity</t>
  </si>
  <si>
    <t>Investor Returns</t>
  </si>
  <si>
    <t>Sensitivity Inputs</t>
  </si>
  <si>
    <t>Entry EV/EBITDA</t>
  </si>
  <si>
    <t>Proprotion of Leverage</t>
  </si>
  <si>
    <t>Depreciation Rate</t>
  </si>
  <si>
    <t>Assumption Boxes</t>
  </si>
  <si>
    <t>*Exception for %, $ and Multiples</t>
  </si>
  <si>
    <t>Deal Rationale</t>
  </si>
  <si>
    <t>rev</t>
  </si>
  <si>
    <t>nm</t>
  </si>
  <si>
    <t>Unique subs</t>
  </si>
  <si>
    <t>NRR</t>
  </si>
  <si>
    <t>Year</t>
  </si>
  <si>
    <t>Tax Provision</t>
  </si>
  <si>
    <t>ARPU</t>
  </si>
  <si>
    <t>Implied EBITDA</t>
  </si>
  <si>
    <t>LBO Key Assumptions</t>
  </si>
  <si>
    <t xml:space="preserve">ARPU </t>
  </si>
  <si>
    <t>Unique Subs</t>
  </si>
  <si>
    <t>Recurring Rev</t>
  </si>
  <si>
    <t>2025F</t>
  </si>
  <si>
    <t>2026F</t>
  </si>
  <si>
    <t>2027F</t>
  </si>
  <si>
    <t>2028F</t>
  </si>
  <si>
    <t>2029F</t>
  </si>
  <si>
    <t>2030F</t>
  </si>
  <si>
    <t>($m)</t>
  </si>
  <si>
    <t>EBITDA Growth</t>
  </si>
  <si>
    <t>EBITDA margin</t>
  </si>
  <si>
    <t>Payments for repurchase and retirement of Class A common stock</t>
  </si>
  <si>
    <t>Transaction Fees</t>
  </si>
  <si>
    <t>Net Debt/EBITDA Ratio</t>
  </si>
  <si>
    <t xml:space="preserve">Total Cash, Cash Equivalents, Restricted Cash </t>
  </si>
  <si>
    <t>Leverage ratio hurdle</t>
  </si>
  <si>
    <t>Interest rate</t>
  </si>
  <si>
    <t>Leverage ratio hurdle 1</t>
  </si>
  <si>
    <t>Leverage ratio hurdle 2</t>
  </si>
  <si>
    <t>Total Debt/EBITDA</t>
  </si>
  <si>
    <t>EBITDA Margins</t>
  </si>
  <si>
    <t>Cover</t>
  </si>
  <si>
    <t>Graphs</t>
  </si>
  <si>
    <t>Comps Analysis Part 1</t>
  </si>
  <si>
    <t>Comps Analysis Part 2</t>
  </si>
  <si>
    <t>Total Debt ($M)</t>
  </si>
  <si>
    <t>Total Debt (SM)</t>
  </si>
  <si>
    <t>EBITDA ($'000)</t>
  </si>
  <si>
    <t>https://www.lsepes.com/reports</t>
  </si>
  <si>
    <t>https://www.linkedin.com/company/lsesu-private-equity-society/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</si>
</sst>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0">
    <numFmt numFmtId="43" formatCode="_-* #,##0.00_-;\-* #,##0.00_-;_-* &quot;-&quot;??_-;_-@_-"/>
    <numFmt numFmtId="164" formatCode="_(* #,##0.00_);_(* \(#,##0.00\);_(* &quot;-&quot;??_);_(@_)"/>
    <numFmt numFmtId="165" formatCode="#,##0.00;\(#,##0.00\)"/>
    <numFmt numFmtId="166" formatCode="0.0%"/>
    <numFmt numFmtId="167" formatCode="#,##0.00&quot;x&quot;;\(#,##0.00\)&quot;x&quot;"/>
    <numFmt numFmtId="168" formatCode="#,##0;\(#,##0\)"/>
    <numFmt numFmtId="169" formatCode="#,##0.00;[Red]\(#,##0.00\)"/>
    <numFmt numFmtId="170" formatCode="#,##0.##;[Red]\(#,##0.##\)"/>
    <numFmt numFmtId="171" formatCode="[=1]&quot;Yes&quot;;[=0]&quot;No&quot;"/>
    <numFmt numFmtId="172" formatCode="0.0&quot;x&quot;"/>
    <numFmt numFmtId="173" formatCode="0.0%;\(0.0%\)"/>
    <numFmt numFmtId="174" formatCode="#,##0.00;[Red]#,##0.00"/>
    <numFmt numFmtId="175" formatCode="[$$-409]#,##0.00"/>
    <numFmt numFmtId="176" formatCode="&quot;FY &quot;0&quot;A&quot;"/>
    <numFmt numFmtId="177" formatCode="&quot;FY &quot;0&quot;E&quot;"/>
    <numFmt numFmtId="178" formatCode="\+0.00%"/>
    <numFmt numFmtId="179" formatCode="0.0"/>
    <numFmt numFmtId="180" formatCode="0&quot;F&quot;"/>
    <numFmt numFmtId="181" formatCode="#,##0.0;\(#,##0.0\)"/>
    <numFmt numFmtId="182" formatCode="#,##0.0"/>
    <numFmt numFmtId="183" formatCode="##,##0.0;\(##,##0.0\);&quot;-&quot;"/>
    <numFmt numFmtId="184" formatCode="#,##0.0;\(#,##0.0\);&quot;-&quot;"/>
    <numFmt numFmtId="185" formatCode="\+0.0%"/>
    <numFmt numFmtId="186" formatCode="0.0%;\(0.0%\);&quot;-&quot;"/>
    <numFmt numFmtId="187" formatCode="#,##0.0;\(0.0\)"/>
    <numFmt numFmtId="188" formatCode="0&quot;A&quot;"/>
    <numFmt numFmtId="189" formatCode="0&quot;E&quot;"/>
    <numFmt numFmtId="190" formatCode="[=1]&quot;Yes&quot;;[=0]&quot;No&quot;;&quot;-&quot;"/>
    <numFmt numFmtId="191" formatCode="#,##0.0&quot;x&quot;"/>
    <numFmt numFmtId="192" formatCode="&quot;Year&quot;\ 0"/>
    <numFmt numFmtId="193" formatCode="0.00%;\(0.00%\);&quot;-&quot;"/>
    <numFmt numFmtId="194" formatCode="#,##0;\ \(#,##0\);\ &quot;-&quot;"/>
    <numFmt numFmtId="195" formatCode="&quot;SOFR +&quot;\ 0.0%"/>
    <numFmt numFmtId="196" formatCode="[=1]&quot;On&quot;;[=0]&quot;Off&quot;;&quot;-&quot;"/>
    <numFmt numFmtId="197" formatCode="##,##0;\(##,##0\);&quot;-&quot;"/>
    <numFmt numFmtId="198" formatCode="0.0;\(0.0\);&quot;-&quot;"/>
    <numFmt numFmtId="199" formatCode="_(#,##0_);\(#,##0\);_(&quot;–&quot;_);_(@_)"/>
    <numFmt numFmtId="200" formatCode="_-* #,##0_-;\(#,##0\)_-;_-* &quot;-&quot;_-;_-@_-"/>
    <numFmt numFmtId="201" formatCode="_(#,##0.0%_);\(#,##0.0%\);_(&quot;–&quot;_)_%;_(@_)_%"/>
    <numFmt numFmtId="202" formatCode="\$0.00&quot;bn&quot;"/>
    <numFmt numFmtId="203" formatCode="0.0\x"/>
    <numFmt numFmtId="204" formatCode="_(#,##0.0\x_);\(#,##0.0\x\);_(&quot;–&quot;_);_(@_)"/>
    <numFmt numFmtId="205" formatCode="_(###0_);\(###0\);_(&quot;–&quot;_);_(@_)"/>
    <numFmt numFmtId="206" formatCode="&quot;Year &quot;0"/>
    <numFmt numFmtId="207" formatCode="_(#,##0.00%_);\(#,##0.0%\);_(&quot;–&quot;_)_%;_(@_)_%"/>
    <numFmt numFmtId="208" formatCode="&quot;$&quot;#,##0.0"/>
    <numFmt numFmtId="209" formatCode="_(0.0\x_);\(0.0\x\);&quot;-&quot;"/>
    <numFmt numFmtId="210" formatCode="0.00\x"/>
    <numFmt numFmtId="211" formatCode="#,##0;\(#,##0\);&quot;-&quot;"/>
    <numFmt numFmtId="212" formatCode="#,##0;\(0\)"/>
  </numFmts>
  <fonts count="68" x14ac:knownFonts="1">
    <font>
      <sz val="11"/>
      <color theme="1"/>
      <name val="Aptos Narrow"/>
      <family val="2"/>
      <scheme val="minor"/>
    </font>
    <font>
      <sz val="11"/>
      <color theme="1"/>
      <name val="Calibri"/>
      <family val="2"/>
    </font>
    <font>
      <b/>
      <sz val="11"/>
      <color theme="1"/>
      <name val="Aptos Narrow"/>
      <family val="2"/>
      <scheme val="minor"/>
    </font>
    <font>
      <sz val="11"/>
      <color theme="0"/>
      <name val="Calibri"/>
      <family val="2"/>
    </font>
    <font>
      <sz val="11"/>
      <color theme="1"/>
      <name val="Calibri"/>
      <family val="2"/>
    </font>
    <font>
      <b/>
      <sz val="11"/>
      <color theme="1"/>
      <name val="Calibri"/>
      <family val="2"/>
    </font>
    <font>
      <b/>
      <sz val="11"/>
      <color theme="0"/>
      <name val="Calibri"/>
      <family val="2"/>
    </font>
    <font>
      <b/>
      <i/>
      <sz val="11"/>
      <name val="Calibri"/>
      <family val="2"/>
    </font>
    <font>
      <b/>
      <u/>
      <sz val="11"/>
      <color theme="1"/>
      <name val="Calibri"/>
      <family val="2"/>
    </font>
    <font>
      <sz val="11"/>
      <name val="Calibri"/>
      <family val="2"/>
    </font>
    <font>
      <sz val="11"/>
      <color theme="3" tint="0.499984740745262"/>
      <name val="Calibri"/>
      <family val="2"/>
    </font>
    <font>
      <i/>
      <sz val="11"/>
      <name val="Calibri"/>
      <family val="2"/>
    </font>
    <font>
      <sz val="9"/>
      <color indexed="81"/>
      <name val="Tahoma"/>
      <family val="2"/>
    </font>
    <font>
      <b/>
      <sz val="9"/>
      <color indexed="81"/>
      <name val="Tahoma"/>
      <family val="2"/>
    </font>
    <font>
      <b/>
      <u/>
      <sz val="11"/>
      <name val="Calibri"/>
      <family val="2"/>
    </font>
    <font>
      <b/>
      <i/>
      <sz val="11"/>
      <color rgb="FF000000"/>
      <name val="Calibri"/>
      <family val="2"/>
    </font>
    <font>
      <i/>
      <sz val="11"/>
      <color theme="1"/>
      <name val="Calibri"/>
      <family val="2"/>
    </font>
    <font>
      <b/>
      <sz val="11"/>
      <color rgb="FF000000"/>
      <name val="Calibri"/>
      <family val="2"/>
    </font>
    <font>
      <b/>
      <sz val="14"/>
      <name val="Calibri"/>
      <family val="2"/>
    </font>
    <font>
      <sz val="11"/>
      <color rgb="FF000000"/>
      <name val="Calibri"/>
      <family val="2"/>
    </font>
    <font>
      <sz val="11"/>
      <color theme="1"/>
      <name val="Aptos Narrow"/>
      <family val="2"/>
      <scheme val="minor"/>
    </font>
    <font>
      <b/>
      <sz val="11"/>
      <color rgb="FF0070C0"/>
      <name val="Calibri"/>
      <family val="2"/>
    </font>
    <font>
      <sz val="11"/>
      <color rgb="FF00B050"/>
      <name val="Calibri"/>
      <family val="2"/>
    </font>
    <font>
      <sz val="11"/>
      <color rgb="FF0070C0"/>
      <name val="Calibri"/>
      <family val="2"/>
    </font>
    <font>
      <sz val="11"/>
      <color rgb="FF00B0F0"/>
      <name val="Calibri"/>
      <family val="2"/>
    </font>
    <font>
      <sz val="8"/>
      <color theme="1"/>
      <name val="Calibri"/>
      <family val="2"/>
    </font>
    <font>
      <i/>
      <sz val="11"/>
      <color theme="3" tint="0.499984740745262"/>
      <name val="Calibri"/>
      <family val="2"/>
    </font>
    <font>
      <i/>
      <sz val="11"/>
      <color rgb="FF00B050"/>
      <name val="Calibri"/>
      <family val="2"/>
    </font>
    <font>
      <u/>
      <sz val="11"/>
      <color theme="1"/>
      <name val="Calibri"/>
      <family val="2"/>
    </font>
    <font>
      <b/>
      <sz val="11"/>
      <name val="Calibri"/>
      <family val="2"/>
    </font>
    <font>
      <sz val="11"/>
      <color theme="3" tint="0.499984740745262"/>
      <name val="Aptos Narrow"/>
      <family val="2"/>
      <scheme val="minor"/>
    </font>
    <font>
      <b/>
      <u/>
      <sz val="11"/>
      <color theme="1"/>
      <name val="Aptos Narrow"/>
      <family val="2"/>
      <scheme val="minor"/>
    </font>
    <font>
      <u/>
      <sz val="11"/>
      <color theme="10"/>
      <name val="Aptos Narrow"/>
      <family val="2"/>
      <scheme val="minor"/>
    </font>
    <font>
      <b/>
      <sz val="22"/>
      <color rgb="FF000000"/>
      <name val="Calibri"/>
      <family val="2"/>
    </font>
    <font>
      <b/>
      <sz val="18"/>
      <color rgb="FF003E4A"/>
      <name val="Calibri"/>
      <family val="2"/>
    </font>
    <font>
      <b/>
      <u/>
      <sz val="12"/>
      <name val="Calibri"/>
      <family val="2"/>
    </font>
    <font>
      <b/>
      <u/>
      <sz val="12"/>
      <color rgb="FF003E4A"/>
      <name val="Calibri"/>
      <family val="2"/>
    </font>
    <font>
      <sz val="11"/>
      <color rgb="FF007C97"/>
      <name val="Calibri"/>
      <family val="2"/>
    </font>
    <font>
      <b/>
      <sz val="11"/>
      <color rgb="FF00B050"/>
      <name val="Calibri"/>
      <family val="2"/>
    </font>
    <font>
      <sz val="11"/>
      <color rgb="FFB11116"/>
      <name val="Calibri"/>
      <family val="2"/>
    </font>
    <font>
      <u/>
      <sz val="11"/>
      <color theme="10"/>
      <name val="Calibri"/>
      <family val="2"/>
    </font>
    <font>
      <sz val="12"/>
      <name val="Aptos"/>
      <family val="2"/>
    </font>
    <font>
      <u/>
      <sz val="11"/>
      <color theme="1"/>
      <name val="Aptos Narrow"/>
      <family val="2"/>
      <scheme val="minor"/>
    </font>
    <font>
      <sz val="11"/>
      <color rgb="FF000000"/>
      <name val="Aptos Narrow"/>
      <family val="2"/>
      <scheme val="minor"/>
    </font>
    <font>
      <sz val="11"/>
      <name val="Aptos Narrow"/>
      <family val="2"/>
      <scheme val="minor"/>
    </font>
    <font>
      <b/>
      <sz val="11"/>
      <name val="Aptos Narrow"/>
      <family val="2"/>
      <scheme val="minor"/>
    </font>
    <font>
      <b/>
      <sz val="10"/>
      <color rgb="FF000000"/>
      <name val="Tahoma"/>
      <family val="2"/>
    </font>
    <font>
      <sz val="10"/>
      <color rgb="FF000000"/>
      <name val="Tahoma"/>
      <family val="2"/>
    </font>
    <font>
      <sz val="11"/>
      <color rgb="FF0000FF"/>
      <name val="Calibri"/>
      <family val="2"/>
    </font>
    <font>
      <i/>
      <sz val="11"/>
      <color rgb="FF0000FF"/>
      <name val="Calibri"/>
      <family val="2"/>
    </font>
    <font>
      <b/>
      <sz val="14"/>
      <color rgb="FF000000"/>
      <name val="Calibri"/>
      <family val="2"/>
    </font>
    <font>
      <i/>
      <sz val="11"/>
      <color theme="1"/>
      <name val="Aptos Narrow"/>
      <family val="2"/>
      <scheme val="minor"/>
    </font>
    <font>
      <b/>
      <sz val="9"/>
      <color rgb="FF000000"/>
      <name val="Tahoma"/>
      <family val="2"/>
    </font>
    <font>
      <sz val="9"/>
      <color rgb="FF000000"/>
      <name val="Tahoma"/>
      <family val="2"/>
    </font>
    <font>
      <b/>
      <sz val="14"/>
      <color rgb="FF0070C0"/>
      <name val="Calibri"/>
      <family val="2"/>
    </font>
    <font>
      <sz val="14"/>
      <color theme="1"/>
      <name val="Calibri"/>
      <family val="2"/>
    </font>
    <font>
      <i/>
      <sz val="9"/>
      <color theme="1"/>
      <name val="Calibri"/>
      <family val="2"/>
    </font>
    <font>
      <sz val="10"/>
      <name val="Arial"/>
      <family val="2"/>
    </font>
    <font>
      <sz val="11"/>
      <color theme="1"/>
      <name val="Arial Narrow"/>
      <family val="2"/>
    </font>
    <font>
      <b/>
      <sz val="16"/>
      <color theme="1"/>
      <name val="Calibri"/>
      <family val="2"/>
    </font>
    <font>
      <sz val="16"/>
      <color theme="1"/>
      <name val="Calibri"/>
      <family val="2"/>
    </font>
    <font>
      <b/>
      <u/>
      <sz val="14"/>
      <color theme="1"/>
      <name val="Calibri"/>
      <family val="2"/>
    </font>
    <font>
      <i/>
      <sz val="11"/>
      <color rgb="FF0000FF"/>
      <name val="Aptos Narrow"/>
      <family val="2"/>
      <scheme val="minor"/>
    </font>
    <font>
      <b/>
      <sz val="11"/>
      <color rgb="FF008000"/>
      <name val="Calibri"/>
      <family val="2"/>
    </font>
    <font>
      <b/>
      <sz val="11"/>
      <color rgb="FF0000FF"/>
      <name val="Calibri"/>
      <family val="2"/>
    </font>
    <font>
      <sz val="11"/>
      <color rgb="FF008000"/>
      <name val="Calibri"/>
      <family val="2"/>
    </font>
    <font>
      <i/>
      <sz val="11"/>
      <color rgb="FF008000"/>
      <name val="Calibri"/>
      <family val="2"/>
    </font>
    <font>
      <i/>
      <u/>
      <sz val="11"/>
      <color theme="10"/>
      <name val="Aptos Narrow"/>
      <family val="2"/>
      <scheme val="minor"/>
    </font>
  </fonts>
  <fills count="17">
    <fill>
      <patternFill patternType="none"/>
    </fill>
    <fill>
      <patternFill patternType="gray125"/>
    </fill>
    <fill>
      <patternFill patternType="solid">
        <fgColor theme="3" tint="9.9978637043366805E-2"/>
        <bgColor indexed="64"/>
      </patternFill>
    </fill>
    <fill>
      <patternFill patternType="solid">
        <fgColor theme="4" tint="0.59999389629810485"/>
        <bgColor indexed="64"/>
      </patternFill>
    </fill>
    <fill>
      <patternFill patternType="solid">
        <fgColor rgb="FFD3D3D3"/>
        <bgColor indexed="64"/>
      </patternFill>
    </fill>
    <fill>
      <patternFill patternType="solid">
        <fgColor rgb="FFD3D3D3"/>
        <bgColor rgb="FF000000"/>
      </patternFill>
    </fill>
    <fill>
      <patternFill patternType="solid">
        <fgColor theme="0" tint="-0.14999847407452621"/>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2" tint="-9.9978637043366805E-2"/>
        <bgColor indexed="64"/>
      </patternFill>
    </fill>
    <fill>
      <patternFill patternType="solid">
        <fgColor indexed="22"/>
      </patternFill>
    </fill>
    <fill>
      <patternFill patternType="solid">
        <fgColor rgb="FFFFFFFF"/>
        <bgColor rgb="FF000000"/>
      </patternFill>
    </fill>
    <fill>
      <patternFill patternType="solid">
        <fgColor rgb="FFDAE9F8"/>
        <bgColor rgb="FF000000"/>
      </patternFill>
    </fill>
    <fill>
      <patternFill patternType="solid">
        <fgColor theme="3" tint="9.9978637043366805E-2"/>
        <bgColor rgb="FF000000"/>
      </patternFill>
    </fill>
    <fill>
      <patternFill patternType="solid">
        <fgColor theme="5" tint="0.79998168889431442"/>
        <bgColor indexed="64"/>
      </patternFill>
    </fill>
    <fill>
      <patternFill patternType="solid">
        <fgColor rgb="FFFFFFCC"/>
        <bgColor rgb="FF000000"/>
      </patternFill>
    </fill>
    <fill>
      <patternFill patternType="solid">
        <fgColor rgb="FFFFFFCC"/>
        <bgColor indexed="64"/>
      </patternFill>
    </fill>
  </fills>
  <borders count="29">
    <border>
      <left/>
      <right/>
      <top/>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right/>
      <top/>
      <bottom style="thin">
        <color rgb="FF000000"/>
      </bottom>
      <diagonal/>
    </border>
    <border>
      <left/>
      <right/>
      <top/>
      <bottom style="medium">
        <color indexed="64"/>
      </bottom>
      <diagonal/>
    </border>
    <border>
      <left/>
      <right/>
      <top style="thin">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dashDot">
        <color indexed="64"/>
      </right>
      <top/>
      <bottom/>
      <diagonal/>
    </border>
    <border>
      <left style="dashDot">
        <color indexed="64"/>
      </left>
      <right/>
      <top/>
      <bottom style="dashDot">
        <color indexed="64"/>
      </bottom>
      <diagonal/>
    </border>
    <border>
      <left/>
      <right/>
      <top/>
      <bottom style="dashDot">
        <color indexed="64"/>
      </bottom>
      <diagonal/>
    </border>
    <border>
      <left/>
      <right style="dashDot">
        <color indexed="64"/>
      </right>
      <top/>
      <bottom style="dashDot">
        <color indexed="64"/>
      </bottom>
      <diagonal/>
    </border>
    <border>
      <left/>
      <right style="thin">
        <color indexed="64"/>
      </right>
      <top style="thin">
        <color indexed="64"/>
      </top>
      <bottom style="thin">
        <color indexed="64"/>
      </bottom>
      <diagonal/>
    </border>
    <border>
      <left style="dashDot">
        <color indexed="64"/>
      </left>
      <right style="dashDot">
        <color indexed="64"/>
      </right>
      <top style="dashDot">
        <color indexed="64"/>
      </top>
      <bottom/>
      <diagonal/>
    </border>
    <border>
      <left style="dashDot">
        <color indexed="64"/>
      </left>
      <right style="dashDot">
        <color indexed="64"/>
      </right>
      <top/>
      <bottom style="dashDot">
        <color indexed="64"/>
      </bottom>
      <diagonal/>
    </border>
    <border>
      <left style="dashDot">
        <color indexed="64"/>
      </left>
      <right/>
      <top/>
      <bottom/>
      <diagonal/>
    </border>
    <border>
      <left/>
      <right/>
      <top style="thin">
        <color indexed="64"/>
      </top>
      <bottom/>
      <diagonal/>
    </border>
    <border>
      <left style="thin">
        <color indexed="64"/>
      </left>
      <right/>
      <top/>
      <bottom/>
      <diagonal/>
    </border>
    <border>
      <left style="dashDot">
        <color indexed="64"/>
      </left>
      <right/>
      <top style="thin">
        <color indexed="64"/>
      </top>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8"/>
      </bottom>
      <diagonal/>
    </border>
    <border>
      <left/>
      <right/>
      <top/>
      <bottom style="thin">
        <color auto="1"/>
      </bottom>
      <diagonal/>
    </border>
    <border>
      <left/>
      <right/>
      <top style="thin">
        <color rgb="FF0070C0"/>
      </top>
      <bottom style="medium">
        <color rgb="FF0070C0"/>
      </bottom>
      <diagonal/>
    </border>
    <border>
      <left style="dashDot">
        <color indexed="64"/>
      </left>
      <right style="dashDot">
        <color indexed="64"/>
      </right>
      <top/>
      <bottom/>
      <diagonal/>
    </border>
  </borders>
  <cellStyleXfs count="10">
    <xf numFmtId="0" fontId="0" fillId="0" borderId="0"/>
    <xf numFmtId="9" fontId="20" fillId="0" borderId="0" applyFont="0" applyFill="0" applyBorder="0" applyAlignment="0" applyProtection="0"/>
    <xf numFmtId="0" fontId="32" fillId="0" borderId="0" applyNumberFormat="0" applyFill="0" applyBorder="0" applyAlignment="0" applyProtection="0"/>
    <xf numFmtId="0" fontId="57" fillId="0" borderId="0"/>
    <xf numFmtId="164" fontId="58"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9" fontId="57" fillId="0" borderId="0" applyFont="0" applyFill="0" applyBorder="0" applyAlignment="0" applyProtection="0"/>
    <xf numFmtId="0" fontId="57" fillId="0" borderId="0"/>
    <xf numFmtId="0" fontId="20" fillId="0" borderId="0"/>
  </cellStyleXfs>
  <cellXfs count="641">
    <xf numFmtId="0" fontId="0" fillId="0" borderId="0" xfId="0"/>
    <xf numFmtId="0" fontId="3" fillId="0" borderId="0" xfId="0" applyFont="1" applyAlignment="1">
      <alignment horizontal="right"/>
    </xf>
    <xf numFmtId="0" fontId="4" fillId="2" borderId="0" xfId="0" applyFont="1" applyFill="1"/>
    <xf numFmtId="0" fontId="4" fillId="0" borderId="0" xfId="0" applyFont="1"/>
    <xf numFmtId="0" fontId="6" fillId="2" borderId="0" xfId="0" applyFont="1" applyFill="1"/>
    <xf numFmtId="0" fontId="4" fillId="3" borderId="0" xfId="0" applyFont="1" applyFill="1"/>
    <xf numFmtId="0" fontId="5" fillId="3" borderId="0" xfId="0" applyFont="1" applyFill="1" applyAlignment="1">
      <alignment horizontal="left" vertical="top"/>
    </xf>
    <xf numFmtId="0" fontId="4" fillId="0" borderId="0" xfId="0" applyFont="1" applyAlignment="1">
      <alignment horizontal="left" vertical="top" wrapText="1"/>
    </xf>
    <xf numFmtId="165" fontId="4" fillId="0" borderId="0" xfId="0" applyNumberFormat="1" applyFont="1" applyAlignment="1">
      <alignment horizontal="left" vertical="top" wrapText="1"/>
    </xf>
    <xf numFmtId="165" fontId="4" fillId="0" borderId="0" xfId="0" applyNumberFormat="1" applyFont="1" applyAlignment="1">
      <alignment horizontal="right" vertical="top" wrapText="1"/>
    </xf>
    <xf numFmtId="0" fontId="4" fillId="0" borderId="0" xfId="0" applyFont="1" applyAlignment="1">
      <alignment horizontal="right" vertical="top" wrapText="1"/>
    </xf>
    <xf numFmtId="0" fontId="8" fillId="0" borderId="0" xfId="0" applyFont="1" applyAlignment="1">
      <alignment horizontal="right"/>
    </xf>
    <xf numFmtId="0" fontId="9" fillId="0" borderId="0" xfId="0" applyFont="1" applyAlignment="1">
      <alignment horizontal="left"/>
    </xf>
    <xf numFmtId="165" fontId="10" fillId="0" borderId="0" xfId="0" applyNumberFormat="1" applyFont="1" applyAlignment="1">
      <alignment horizontal="right" vertical="top" wrapText="1"/>
    </xf>
    <xf numFmtId="0" fontId="10" fillId="0" borderId="0" xfId="0" applyFont="1" applyAlignment="1">
      <alignment horizontal="right" vertical="top" wrapText="1"/>
    </xf>
    <xf numFmtId="166" fontId="10" fillId="0" borderId="0" xfId="0" applyNumberFormat="1" applyFont="1" applyAlignment="1">
      <alignment horizontal="right" vertical="top" wrapText="1"/>
    </xf>
    <xf numFmtId="0" fontId="11" fillId="0" borderId="0" xfId="0" applyFont="1" applyAlignment="1">
      <alignment horizontal="left"/>
    </xf>
    <xf numFmtId="0" fontId="8" fillId="0" borderId="0" xfId="0" applyFont="1" applyAlignment="1">
      <alignment horizontal="center" vertical="center"/>
    </xf>
    <xf numFmtId="0" fontId="7" fillId="0" borderId="0" xfId="0" applyFont="1" applyAlignment="1">
      <alignment horizontal="left" vertical="top" wrapText="1"/>
    </xf>
    <xf numFmtId="10" fontId="4" fillId="0" borderId="0" xfId="0" applyNumberFormat="1" applyFont="1"/>
    <xf numFmtId="10" fontId="10" fillId="0" borderId="0" xfId="0" applyNumberFormat="1" applyFont="1"/>
    <xf numFmtId="0" fontId="14" fillId="0" borderId="0" xfId="0" applyFont="1" applyAlignment="1">
      <alignment horizontal="center" vertical="top" wrapText="1"/>
    </xf>
    <xf numFmtId="167" fontId="10" fillId="0" borderId="0" xfId="0" applyNumberFormat="1" applyFont="1" applyAlignment="1">
      <alignment horizontal="right" vertical="top" wrapText="1"/>
    </xf>
    <xf numFmtId="0" fontId="14" fillId="0" borderId="0" xfId="0" applyFont="1" applyAlignment="1">
      <alignment horizontal="left" vertical="top" wrapText="1"/>
    </xf>
    <xf numFmtId="0" fontId="14" fillId="0" borderId="0" xfId="0" applyFont="1" applyAlignment="1">
      <alignment horizontal="right" vertical="top" wrapText="1"/>
    </xf>
    <xf numFmtId="0" fontId="4" fillId="0" borderId="0" xfId="0" applyFont="1" applyAlignment="1">
      <alignment horizontal="left" vertical="top"/>
    </xf>
    <xf numFmtId="168" fontId="4" fillId="0" borderId="0" xfId="0" applyNumberFormat="1" applyFont="1" applyAlignment="1">
      <alignment horizontal="right" vertical="top" wrapText="1"/>
    </xf>
    <xf numFmtId="168" fontId="4" fillId="0" borderId="0" xfId="0" applyNumberFormat="1" applyFont="1" applyAlignment="1">
      <alignment horizontal="left" vertical="top"/>
    </xf>
    <xf numFmtId="168" fontId="4" fillId="0" borderId="0" xfId="0" applyNumberFormat="1" applyFont="1" applyAlignment="1">
      <alignment horizontal="left" vertical="top" wrapText="1"/>
    </xf>
    <xf numFmtId="168" fontId="4" fillId="0" borderId="0" xfId="0" applyNumberFormat="1" applyFont="1"/>
    <xf numFmtId="0" fontId="5" fillId="0" borderId="0" xfId="0" applyFont="1" applyAlignment="1">
      <alignment horizontal="left" vertical="top"/>
    </xf>
    <xf numFmtId="168" fontId="10" fillId="0" borderId="0" xfId="0" applyNumberFormat="1" applyFont="1" applyAlignment="1">
      <alignment horizontal="right" vertical="top" wrapText="1"/>
    </xf>
    <xf numFmtId="0" fontId="16" fillId="0" borderId="0" xfId="0" applyFont="1"/>
    <xf numFmtId="0" fontId="17" fillId="0" borderId="0" xfId="0" applyFont="1" applyAlignment="1">
      <alignment horizontal="right" vertical="top" wrapText="1"/>
    </xf>
    <xf numFmtId="0" fontId="17" fillId="0" borderId="0" xfId="0" applyFont="1" applyAlignment="1">
      <alignment horizontal="left" vertical="top" wrapText="1"/>
    </xf>
    <xf numFmtId="0" fontId="4" fillId="0" borderId="0" xfId="0" applyFont="1" applyAlignment="1">
      <alignment horizontal="center"/>
    </xf>
    <xf numFmtId="0" fontId="4" fillId="0" borderId="0" xfId="0" applyFont="1" applyAlignment="1">
      <alignment horizontal="right"/>
    </xf>
    <xf numFmtId="10" fontId="10" fillId="0" borderId="0" xfId="0" applyNumberFormat="1" applyFont="1" applyAlignment="1">
      <alignment horizontal="right" vertical="top" wrapText="1"/>
    </xf>
    <xf numFmtId="169" fontId="10" fillId="0" borderId="0" xfId="0" applyNumberFormat="1" applyFont="1" applyAlignment="1">
      <alignment horizontal="right" vertical="top" wrapText="1"/>
    </xf>
    <xf numFmtId="0" fontId="5" fillId="0" borderId="0" xfId="0" applyFont="1" applyAlignment="1">
      <alignment horizontal="right" vertical="top" wrapText="1"/>
    </xf>
    <xf numFmtId="0" fontId="18" fillId="0" borderId="0" xfId="0" applyFont="1" applyAlignment="1">
      <alignment horizontal="left"/>
    </xf>
    <xf numFmtId="0" fontId="15" fillId="0" borderId="0" xfId="0" applyFont="1" applyAlignment="1">
      <alignment horizontal="left" vertical="top" wrapText="1"/>
    </xf>
    <xf numFmtId="0" fontId="19" fillId="0" borderId="0" xfId="0" applyFont="1"/>
    <xf numFmtId="0" fontId="19" fillId="0" borderId="0" xfId="0" applyFont="1" applyAlignment="1">
      <alignment horizontal="left" vertical="top"/>
    </xf>
    <xf numFmtId="0" fontId="19" fillId="0" borderId="0" xfId="0" applyFont="1" applyAlignment="1">
      <alignment horizontal="left" vertical="top" wrapText="1"/>
    </xf>
    <xf numFmtId="0" fontId="15" fillId="5" borderId="1" xfId="0" applyFont="1" applyFill="1" applyBorder="1" applyAlignment="1">
      <alignment horizontal="left" vertical="top" wrapText="1"/>
    </xf>
    <xf numFmtId="0" fontId="15" fillId="5" borderId="1" xfId="0" applyFont="1" applyFill="1" applyBorder="1" applyAlignment="1">
      <alignment horizontal="right" vertical="top" wrapText="1"/>
    </xf>
    <xf numFmtId="0" fontId="19" fillId="0" borderId="0" xfId="0" applyFont="1" applyAlignment="1">
      <alignment horizontal="right" vertical="top"/>
    </xf>
    <xf numFmtId="0" fontId="17" fillId="0" borderId="0" xfId="0" applyFont="1" applyAlignment="1">
      <alignment horizontal="left" vertical="top"/>
    </xf>
    <xf numFmtId="4" fontId="19" fillId="0" borderId="0" xfId="0" applyNumberFormat="1" applyFont="1" applyAlignment="1">
      <alignment horizontal="right" vertical="top"/>
    </xf>
    <xf numFmtId="0" fontId="15" fillId="4" borderId="1" xfId="0" applyFont="1" applyFill="1" applyBorder="1" applyAlignment="1">
      <alignment horizontal="left" vertical="top" wrapText="1"/>
    </xf>
    <xf numFmtId="0" fontId="15" fillId="4" borderId="1" xfId="0" applyFont="1" applyFill="1" applyBorder="1" applyAlignment="1">
      <alignment horizontal="right" vertical="top" wrapText="1"/>
    </xf>
    <xf numFmtId="14" fontId="4" fillId="0" borderId="0" xfId="0" applyNumberFormat="1" applyFont="1" applyAlignment="1">
      <alignment horizontal="right" vertical="top"/>
    </xf>
    <xf numFmtId="0" fontId="4" fillId="0" borderId="0" xfId="0" applyFont="1" applyAlignment="1">
      <alignment horizontal="right" vertical="top"/>
    </xf>
    <xf numFmtId="170" fontId="4" fillId="0" borderId="0" xfId="0" applyNumberFormat="1" applyFont="1" applyAlignment="1">
      <alignment horizontal="right" vertical="top"/>
    </xf>
    <xf numFmtId="0" fontId="5" fillId="0" borderId="4" xfId="0" applyFont="1" applyBorder="1"/>
    <xf numFmtId="0" fontId="4" fillId="0" borderId="4" xfId="0" applyFont="1" applyBorder="1"/>
    <xf numFmtId="0" fontId="4" fillId="0" borderId="0" xfId="0" applyFont="1" applyAlignment="1">
      <alignment horizontal="left" indent="1"/>
    </xf>
    <xf numFmtId="171" fontId="4" fillId="0" borderId="0" xfId="0" applyNumberFormat="1" applyFont="1"/>
    <xf numFmtId="0" fontId="4" fillId="0" borderId="5" xfId="0" applyFont="1" applyBorder="1"/>
    <xf numFmtId="0" fontId="4" fillId="0" borderId="0" xfId="0" applyFont="1" applyAlignment="1">
      <alignment horizontal="left"/>
    </xf>
    <xf numFmtId="0" fontId="5" fillId="0" borderId="0" xfId="0" applyFont="1" applyAlignment="1">
      <alignment horizontal="left"/>
    </xf>
    <xf numFmtId="0" fontId="5" fillId="0" borderId="4" xfId="0" applyFont="1" applyBorder="1" applyAlignment="1">
      <alignment horizontal="right"/>
    </xf>
    <xf numFmtId="0" fontId="5" fillId="0" borderId="5" xfId="0" applyFont="1" applyBorder="1"/>
    <xf numFmtId="0" fontId="5" fillId="0" borderId="0" xfId="0" applyFont="1"/>
    <xf numFmtId="3" fontId="4" fillId="0" borderId="0" xfId="0" applyNumberFormat="1" applyFont="1"/>
    <xf numFmtId="0" fontId="0" fillId="0" borderId="0" xfId="0" applyAlignment="1">
      <alignment horizontal="left" vertical="top"/>
    </xf>
    <xf numFmtId="14" fontId="0" fillId="0" borderId="0" xfId="0" applyNumberFormat="1" applyAlignment="1">
      <alignment horizontal="right" vertical="top"/>
    </xf>
    <xf numFmtId="0" fontId="0" fillId="0" borderId="0" xfId="0" applyAlignment="1">
      <alignment horizontal="right" vertical="top"/>
    </xf>
    <xf numFmtId="0" fontId="2" fillId="0" borderId="0" xfId="0" applyFont="1" applyAlignment="1">
      <alignment horizontal="left" vertical="top"/>
    </xf>
    <xf numFmtId="170" fontId="0" fillId="0" borderId="0" xfId="0" applyNumberFormat="1" applyAlignment="1">
      <alignment horizontal="right" vertical="top"/>
    </xf>
    <xf numFmtId="3" fontId="10" fillId="0" borderId="0" xfId="0" applyNumberFormat="1" applyFont="1"/>
    <xf numFmtId="170" fontId="19" fillId="0" borderId="0" xfId="0" applyNumberFormat="1" applyFont="1"/>
    <xf numFmtId="3" fontId="4" fillId="0" borderId="5" xfId="0" applyNumberFormat="1" applyFont="1" applyBorder="1"/>
    <xf numFmtId="173" fontId="4" fillId="0" borderId="0" xfId="0" applyNumberFormat="1" applyFont="1"/>
    <xf numFmtId="3" fontId="9" fillId="0" borderId="0" xfId="0" applyNumberFormat="1" applyFont="1"/>
    <xf numFmtId="166" fontId="4" fillId="0" borderId="0" xfId="0" applyNumberFormat="1" applyFont="1"/>
    <xf numFmtId="174" fontId="19" fillId="0" borderId="0" xfId="0" applyNumberFormat="1" applyFont="1"/>
    <xf numFmtId="0" fontId="5" fillId="0" borderId="5" xfId="0" applyFont="1" applyBorder="1" applyAlignment="1">
      <alignment horizontal="left"/>
    </xf>
    <xf numFmtId="172" fontId="9" fillId="0" borderId="0" xfId="0" applyNumberFormat="1" applyFont="1"/>
    <xf numFmtId="168" fontId="9" fillId="0" borderId="0" xfId="0" applyNumberFormat="1" applyFont="1" applyAlignment="1">
      <alignment horizontal="right" vertical="top" wrapText="1"/>
    </xf>
    <xf numFmtId="0" fontId="10" fillId="0" borderId="0" xfId="0" applyFont="1"/>
    <xf numFmtId="168" fontId="4" fillId="0" borderId="5" xfId="0" applyNumberFormat="1" applyFont="1" applyBorder="1"/>
    <xf numFmtId="166" fontId="4" fillId="0" borderId="5" xfId="0" applyNumberFormat="1" applyFont="1" applyBorder="1"/>
    <xf numFmtId="0" fontId="10" fillId="0" borderId="0" xfId="0" applyFont="1" applyAlignment="1">
      <alignment horizontal="right"/>
    </xf>
    <xf numFmtId="2" fontId="4" fillId="0" borderId="0" xfId="0" applyNumberFormat="1" applyFont="1" applyAlignment="1">
      <alignment horizontal="left" indent="1"/>
    </xf>
    <xf numFmtId="2" fontId="4" fillId="0" borderId="6" xfId="0" applyNumberFormat="1" applyFont="1" applyBorder="1" applyAlignment="1">
      <alignment horizontal="left" indent="1"/>
    </xf>
    <xf numFmtId="0" fontId="5" fillId="0" borderId="4" xfId="0" applyFont="1" applyBorder="1" applyAlignment="1">
      <alignment horizontal="left"/>
    </xf>
    <xf numFmtId="3" fontId="4" fillId="0" borderId="4" xfId="0" applyNumberFormat="1" applyFont="1" applyBorder="1"/>
    <xf numFmtId="168" fontId="9" fillId="0" borderId="5" xfId="0" applyNumberFormat="1" applyFont="1" applyBorder="1"/>
    <xf numFmtId="2" fontId="4" fillId="0" borderId="0" xfId="0" applyNumberFormat="1" applyFont="1"/>
    <xf numFmtId="10" fontId="22" fillId="0" borderId="0" xfId="1" applyNumberFormat="1" applyFont="1"/>
    <xf numFmtId="166" fontId="4" fillId="0" borderId="0" xfId="1" applyNumberFormat="1" applyFont="1"/>
    <xf numFmtId="166" fontId="24" fillId="0" borderId="0" xfId="1" applyNumberFormat="1" applyFont="1"/>
    <xf numFmtId="0" fontId="23" fillId="0" borderId="0" xfId="0" applyFont="1"/>
    <xf numFmtId="166" fontId="23" fillId="0" borderId="0" xfId="1" applyNumberFormat="1" applyFont="1"/>
    <xf numFmtId="178" fontId="24" fillId="0" borderId="0" xfId="1" applyNumberFormat="1" applyFont="1" applyBorder="1" applyAlignment="1">
      <alignment horizontal="center"/>
    </xf>
    <xf numFmtId="10" fontId="23" fillId="0" borderId="0" xfId="1" applyNumberFormat="1" applyFont="1"/>
    <xf numFmtId="179" fontId="22" fillId="0" borderId="0" xfId="0" applyNumberFormat="1" applyFont="1"/>
    <xf numFmtId="179" fontId="4" fillId="0" borderId="0" xfId="0" applyNumberFormat="1" applyFont="1"/>
    <xf numFmtId="10" fontId="24" fillId="0" borderId="0" xfId="1" applyNumberFormat="1" applyFont="1"/>
    <xf numFmtId="177" fontId="5" fillId="0" borderId="5" xfId="0" applyNumberFormat="1" applyFont="1" applyBorder="1" applyAlignment="1">
      <alignment horizontal="right"/>
    </xf>
    <xf numFmtId="180" fontId="5" fillId="0" borderId="5" xfId="0" applyNumberFormat="1" applyFont="1" applyBorder="1"/>
    <xf numFmtId="176" fontId="10" fillId="0" borderId="0" xfId="0" applyNumberFormat="1" applyFont="1" applyAlignment="1">
      <alignment horizontal="right"/>
    </xf>
    <xf numFmtId="0" fontId="0" fillId="8" borderId="0" xfId="0" applyFill="1"/>
    <xf numFmtId="0" fontId="16" fillId="0" borderId="0" xfId="0" applyFont="1" applyAlignment="1">
      <alignment horizontal="left" indent="1"/>
    </xf>
    <xf numFmtId="182" fontId="4" fillId="0" borderId="0" xfId="1" applyNumberFormat="1" applyFont="1"/>
    <xf numFmtId="182" fontId="3" fillId="0" borderId="0" xfId="0" applyNumberFormat="1" applyFont="1" applyAlignment="1">
      <alignment horizontal="right"/>
    </xf>
    <xf numFmtId="182" fontId="6" fillId="2" borderId="0" xfId="0" applyNumberFormat="1" applyFont="1" applyFill="1"/>
    <xf numFmtId="182" fontId="6" fillId="2" borderId="0" xfId="1" applyNumberFormat="1" applyFont="1" applyFill="1"/>
    <xf numFmtId="182" fontId="4" fillId="0" borderId="0" xfId="0" applyNumberFormat="1" applyFont="1"/>
    <xf numFmtId="182" fontId="4" fillId="0" borderId="0" xfId="0" applyNumberFormat="1" applyFont="1" applyAlignment="1">
      <alignment horizontal="left" vertical="top"/>
    </xf>
    <xf numFmtId="182" fontId="25" fillId="0" borderId="0" xfId="0" applyNumberFormat="1" applyFont="1"/>
    <xf numFmtId="182" fontId="5" fillId="0" borderId="5" xfId="0" applyNumberFormat="1" applyFont="1" applyBorder="1" applyAlignment="1">
      <alignment horizontal="right"/>
    </xf>
    <xf numFmtId="182" fontId="5" fillId="0" borderId="0" xfId="0" applyNumberFormat="1" applyFont="1"/>
    <xf numFmtId="182" fontId="10" fillId="0" borderId="0" xfId="0" applyNumberFormat="1" applyFont="1" applyAlignment="1">
      <alignment horizontal="right"/>
    </xf>
    <xf numFmtId="182" fontId="5" fillId="0" borderId="0" xfId="0" applyNumberFormat="1" applyFont="1" applyAlignment="1">
      <alignment horizontal="left" vertical="top"/>
    </xf>
    <xf numFmtId="182" fontId="16" fillId="0" borderId="0" xfId="0" applyNumberFormat="1" applyFont="1" applyAlignment="1">
      <alignment horizontal="left" vertical="top"/>
    </xf>
    <xf numFmtId="182" fontId="16" fillId="0" borderId="0" xfId="0" applyNumberFormat="1" applyFont="1" applyAlignment="1">
      <alignment horizontal="left" indent="1"/>
    </xf>
    <xf numFmtId="182" fontId="16" fillId="0" borderId="0" xfId="1" applyNumberFormat="1" applyFont="1"/>
    <xf numFmtId="182" fontId="26" fillId="0" borderId="0" xfId="1" applyNumberFormat="1" applyFont="1" applyAlignment="1">
      <alignment horizontal="right"/>
    </xf>
    <xf numFmtId="182" fontId="4" fillId="0" borderId="0" xfId="1" applyNumberFormat="1" applyFont="1" applyAlignment="1">
      <alignment horizontal="left" vertical="top"/>
    </xf>
    <xf numFmtId="182" fontId="4" fillId="0" borderId="0" xfId="1" applyNumberFormat="1" applyFont="1" applyAlignment="1">
      <alignment horizontal="right" vertical="top"/>
    </xf>
    <xf numFmtId="182" fontId="5" fillId="0" borderId="0" xfId="0" applyNumberFormat="1" applyFont="1" applyAlignment="1">
      <alignment vertical="top"/>
    </xf>
    <xf numFmtId="182" fontId="4" fillId="0" borderId="0" xfId="0" applyNumberFormat="1" applyFont="1" applyAlignment="1">
      <alignment vertical="top"/>
    </xf>
    <xf numFmtId="182" fontId="5" fillId="0" borderId="0" xfId="1" applyNumberFormat="1" applyFont="1"/>
    <xf numFmtId="182" fontId="5" fillId="0" borderId="0" xfId="1" applyNumberFormat="1" applyFont="1" applyAlignment="1">
      <alignment horizontal="right" vertical="top"/>
    </xf>
    <xf numFmtId="182" fontId="4" fillId="0" borderId="0" xfId="1" applyNumberFormat="1" applyFont="1" applyAlignment="1">
      <alignment horizontal="right"/>
    </xf>
    <xf numFmtId="182" fontId="4" fillId="0" borderId="0" xfId="1" applyNumberFormat="1" applyFont="1" applyAlignment="1">
      <alignment horizontal="center"/>
    </xf>
    <xf numFmtId="182" fontId="19" fillId="0" borderId="0" xfId="0" applyNumberFormat="1" applyFont="1"/>
    <xf numFmtId="182" fontId="17" fillId="0" borderId="0" xfId="0" applyNumberFormat="1" applyFont="1"/>
    <xf numFmtId="182" fontId="5" fillId="0" borderId="14" xfId="1" applyNumberFormat="1" applyFont="1" applyBorder="1" applyAlignment="1">
      <alignment horizontal="center"/>
    </xf>
    <xf numFmtId="182" fontId="5" fillId="0" borderId="0" xfId="1" applyNumberFormat="1" applyFont="1" applyAlignment="1">
      <alignment horizontal="center"/>
    </xf>
    <xf numFmtId="0" fontId="4" fillId="0" borderId="0" xfId="0" applyFont="1" applyAlignment="1">
      <alignment horizontal="left" vertical="top" indent="1"/>
    </xf>
    <xf numFmtId="184" fontId="4" fillId="0" borderId="0" xfId="1" applyNumberFormat="1" applyFont="1"/>
    <xf numFmtId="0" fontId="19" fillId="0" borderId="0" xfId="0" applyFont="1" applyAlignment="1">
      <alignment horizontal="left" vertical="top" indent="1"/>
    </xf>
    <xf numFmtId="182" fontId="4" fillId="0" borderId="0" xfId="1" applyNumberFormat="1" applyFont="1" applyFill="1" applyBorder="1"/>
    <xf numFmtId="185" fontId="23" fillId="0" borderId="0" xfId="1" applyNumberFormat="1" applyFont="1" applyBorder="1" applyAlignment="1">
      <alignment horizontal="center"/>
    </xf>
    <xf numFmtId="185" fontId="4" fillId="0" borderId="0" xfId="0" applyNumberFormat="1" applyFont="1"/>
    <xf numFmtId="185" fontId="4" fillId="0" borderId="0" xfId="1" applyNumberFormat="1" applyFont="1"/>
    <xf numFmtId="185" fontId="4" fillId="0" borderId="0" xfId="1" applyNumberFormat="1" applyFont="1" applyBorder="1"/>
    <xf numFmtId="185" fontId="23" fillId="0" borderId="0" xfId="1" applyNumberFormat="1" applyFont="1" applyBorder="1"/>
    <xf numFmtId="185" fontId="9" fillId="0" borderId="0" xfId="1" applyNumberFormat="1" applyFont="1" applyBorder="1"/>
    <xf numFmtId="0" fontId="19" fillId="9" borderId="0" xfId="0" applyFont="1" applyFill="1"/>
    <xf numFmtId="0" fontId="4" fillId="0" borderId="18" xfId="0" applyFont="1" applyBorder="1"/>
    <xf numFmtId="14" fontId="4" fillId="0" borderId="0" xfId="0" applyNumberFormat="1" applyFont="1"/>
    <xf numFmtId="186" fontId="22" fillId="0" borderId="0" xfId="0" applyNumberFormat="1" applyFont="1" applyAlignment="1">
      <alignment horizontal="right"/>
    </xf>
    <xf numFmtId="182" fontId="16" fillId="0" borderId="0" xfId="0" applyNumberFormat="1" applyFont="1"/>
    <xf numFmtId="0" fontId="16" fillId="0" borderId="0" xfId="0" applyFont="1" applyAlignment="1">
      <alignment horizontal="left" vertical="top" indent="1"/>
    </xf>
    <xf numFmtId="186" fontId="16" fillId="0" borderId="0" xfId="1" applyNumberFormat="1" applyFont="1"/>
    <xf numFmtId="186" fontId="4" fillId="0" borderId="0" xfId="0" applyNumberFormat="1" applyFont="1"/>
    <xf numFmtId="0" fontId="19" fillId="9" borderId="16" xfId="0" applyFont="1" applyFill="1" applyBorder="1"/>
    <xf numFmtId="0" fontId="19" fillId="9" borderId="10" xfId="0" applyFont="1" applyFill="1" applyBorder="1"/>
    <xf numFmtId="0" fontId="19" fillId="9" borderId="11" xfId="0" applyFont="1" applyFill="1" applyBorder="1"/>
    <xf numFmtId="184" fontId="4" fillId="0" borderId="6" xfId="1" applyNumberFormat="1" applyFont="1" applyBorder="1"/>
    <xf numFmtId="186" fontId="10" fillId="0" borderId="0" xfId="0" applyNumberFormat="1" applyFont="1" applyAlignment="1">
      <alignment horizontal="right"/>
    </xf>
    <xf numFmtId="186" fontId="9" fillId="0" borderId="0" xfId="0" applyNumberFormat="1" applyFont="1" applyAlignment="1">
      <alignment horizontal="right"/>
    </xf>
    <xf numFmtId="181" fontId="4" fillId="0" borderId="0" xfId="0" applyNumberFormat="1" applyFont="1"/>
    <xf numFmtId="0" fontId="5" fillId="0" borderId="0" xfId="0" applyFont="1" applyAlignment="1">
      <alignment horizontal="center"/>
    </xf>
    <xf numFmtId="0" fontId="28" fillId="0" borderId="0" xfId="0" applyFont="1" applyAlignment="1">
      <alignment horizontal="center"/>
    </xf>
    <xf numFmtId="0" fontId="4" fillId="6" borderId="0" xfId="0" applyFont="1" applyFill="1"/>
    <xf numFmtId="187" fontId="4" fillId="0" borderId="0" xfId="0" applyNumberFormat="1" applyFont="1"/>
    <xf numFmtId="173" fontId="16" fillId="0" borderId="0" xfId="0" applyNumberFormat="1" applyFont="1" applyAlignment="1">
      <alignment horizontal="right"/>
    </xf>
    <xf numFmtId="0" fontId="5" fillId="7" borderId="0" xfId="0" applyFont="1" applyFill="1"/>
    <xf numFmtId="0" fontId="4" fillId="7" borderId="0" xfId="0" applyFont="1" applyFill="1"/>
    <xf numFmtId="0" fontId="28" fillId="0" borderId="0" xfId="0" applyFont="1"/>
    <xf numFmtId="0" fontId="28" fillId="0" borderId="0" xfId="0" applyFont="1" applyAlignment="1">
      <alignment horizontal="right"/>
    </xf>
    <xf numFmtId="188" fontId="4" fillId="0" borderId="0" xfId="0" applyNumberFormat="1" applyFont="1" applyAlignment="1">
      <alignment horizontal="left"/>
    </xf>
    <xf numFmtId="189" fontId="4" fillId="0" borderId="0" xfId="0" applyNumberFormat="1" applyFont="1" applyAlignment="1">
      <alignment horizontal="right"/>
    </xf>
    <xf numFmtId="189" fontId="4" fillId="0" borderId="0" xfId="0" applyNumberFormat="1" applyFont="1" applyAlignment="1">
      <alignment horizontal="left"/>
    </xf>
    <xf numFmtId="173" fontId="27" fillId="0" borderId="0" xfId="0" applyNumberFormat="1" applyFont="1" applyAlignment="1">
      <alignment horizontal="right"/>
    </xf>
    <xf numFmtId="0" fontId="5" fillId="0" borderId="0" xfId="0" applyFont="1" applyAlignment="1">
      <alignment horizontal="left" indent="1"/>
    </xf>
    <xf numFmtId="0" fontId="4" fillId="0" borderId="0" xfId="0" applyFont="1" applyAlignment="1">
      <alignment horizontal="left" indent="2"/>
    </xf>
    <xf numFmtId="180" fontId="4" fillId="0" borderId="0" xfId="0" applyNumberFormat="1" applyFont="1" applyAlignment="1">
      <alignment horizontal="left"/>
    </xf>
    <xf numFmtId="183" fontId="4" fillId="0" borderId="0" xfId="0" applyNumberFormat="1" applyFont="1"/>
    <xf numFmtId="0" fontId="3" fillId="0" borderId="0" xfId="0" applyFont="1"/>
    <xf numFmtId="0" fontId="29" fillId="0" borderId="0" xfId="0" applyFont="1"/>
    <xf numFmtId="181" fontId="9" fillId="0" borderId="0" xfId="0" applyNumberFormat="1" applyFont="1"/>
    <xf numFmtId="0" fontId="4" fillId="0" borderId="23" xfId="0" applyFont="1" applyBorder="1"/>
    <xf numFmtId="179" fontId="4" fillId="0" borderId="0" xfId="1" applyNumberFormat="1" applyFont="1" applyBorder="1"/>
    <xf numFmtId="179" fontId="4" fillId="0" borderId="9" xfId="1" applyNumberFormat="1" applyFont="1" applyBorder="1"/>
    <xf numFmtId="179" fontId="9" fillId="0" borderId="0" xfId="1" applyNumberFormat="1" applyFont="1" applyBorder="1"/>
    <xf numFmtId="179" fontId="4" fillId="0" borderId="11" xfId="1" applyNumberFormat="1" applyFont="1" applyBorder="1"/>
    <xf numFmtId="179" fontId="4" fillId="0" borderId="12" xfId="1" applyNumberFormat="1" applyFont="1" applyBorder="1"/>
    <xf numFmtId="182" fontId="5" fillId="0" borderId="0" xfId="0" applyNumberFormat="1" applyFont="1" applyAlignment="1">
      <alignment horizontal="left" indent="1"/>
    </xf>
    <xf numFmtId="182" fontId="4" fillId="0" borderId="0" xfId="0" applyNumberFormat="1" applyFont="1" applyAlignment="1">
      <alignment horizontal="left" vertical="top" indent="1"/>
    </xf>
    <xf numFmtId="0" fontId="0" fillId="10" borderId="25" xfId="0" applyFill="1" applyBorder="1"/>
    <xf numFmtId="0" fontId="2" fillId="0" borderId="0" xfId="0" applyFont="1" applyAlignment="1">
      <alignment horizontal="right"/>
    </xf>
    <xf numFmtId="0" fontId="0" fillId="0" borderId="0" xfId="0" applyAlignment="1">
      <alignment horizontal="right"/>
    </xf>
    <xf numFmtId="184" fontId="9" fillId="0" borderId="0" xfId="1" applyNumberFormat="1" applyFont="1"/>
    <xf numFmtId="182" fontId="19" fillId="0" borderId="0" xfId="0" applyNumberFormat="1" applyFont="1" applyAlignment="1">
      <alignment horizontal="left" indent="1"/>
    </xf>
    <xf numFmtId="182" fontId="4" fillId="0" borderId="0" xfId="0" applyNumberFormat="1" applyFont="1" applyAlignment="1">
      <alignment horizontal="left" indent="1"/>
    </xf>
    <xf numFmtId="190" fontId="4" fillId="0" borderId="0" xfId="1" applyNumberFormat="1" applyFont="1" applyBorder="1" applyAlignment="1">
      <alignment horizontal="right"/>
    </xf>
    <xf numFmtId="182" fontId="4" fillId="0" borderId="0" xfId="1" applyNumberFormat="1" applyFont="1" applyBorder="1" applyAlignment="1">
      <alignment horizontal="right"/>
    </xf>
    <xf numFmtId="190" fontId="4" fillId="0" borderId="23" xfId="1" applyNumberFormat="1" applyFont="1" applyBorder="1" applyAlignment="1">
      <alignment horizontal="right"/>
    </xf>
    <xf numFmtId="182" fontId="5" fillId="0" borderId="0" xfId="1" applyNumberFormat="1" applyFont="1" applyBorder="1"/>
    <xf numFmtId="3" fontId="4" fillId="0" borderId="0" xfId="1" applyNumberFormat="1" applyFont="1"/>
    <xf numFmtId="182" fontId="4" fillId="0" borderId="0" xfId="1" applyNumberFormat="1" applyFont="1" applyBorder="1"/>
    <xf numFmtId="182" fontId="5" fillId="0" borderId="0" xfId="1" applyNumberFormat="1" applyFont="1" applyBorder="1" applyAlignment="1">
      <alignment horizontal="center"/>
    </xf>
    <xf numFmtId="171" fontId="4" fillId="0" borderId="0" xfId="1" applyNumberFormat="1" applyFont="1" applyBorder="1" applyAlignment="1"/>
    <xf numFmtId="171" fontId="4" fillId="0" borderId="18" xfId="1" applyNumberFormat="1" applyFont="1" applyBorder="1" applyAlignment="1">
      <alignment horizontal="right"/>
    </xf>
    <xf numFmtId="171" fontId="4" fillId="0" borderId="0" xfId="1" applyNumberFormat="1" applyFont="1" applyBorder="1" applyAlignment="1">
      <alignment horizontal="right"/>
    </xf>
    <xf numFmtId="171" fontId="4" fillId="0" borderId="23" xfId="1" applyNumberFormat="1" applyFont="1" applyBorder="1" applyAlignment="1">
      <alignment horizontal="right"/>
    </xf>
    <xf numFmtId="166" fontId="22" fillId="0" borderId="0" xfId="1" applyNumberFormat="1" applyFont="1" applyBorder="1" applyAlignment="1">
      <alignment horizontal="center"/>
    </xf>
    <xf numFmtId="182" fontId="4" fillId="0" borderId="0" xfId="1" applyNumberFormat="1" applyFont="1" applyBorder="1" applyAlignment="1">
      <alignment horizontal="right" vertical="top"/>
    </xf>
    <xf numFmtId="190" fontId="4" fillId="0" borderId="7" xfId="1" applyNumberFormat="1" applyFont="1" applyBorder="1" applyAlignment="1">
      <alignment horizontal="right"/>
    </xf>
    <xf numFmtId="190" fontId="4" fillId="0" borderId="8" xfId="1" applyNumberFormat="1" applyFont="1" applyBorder="1" applyAlignment="1">
      <alignment horizontal="right"/>
    </xf>
    <xf numFmtId="190" fontId="4" fillId="0" borderId="13" xfId="1" applyNumberFormat="1" applyFont="1" applyBorder="1" applyAlignment="1">
      <alignment horizontal="right"/>
    </xf>
    <xf numFmtId="184" fontId="4" fillId="0" borderId="24" xfId="1" applyNumberFormat="1" applyFont="1" applyBorder="1"/>
    <xf numFmtId="184" fontId="4" fillId="0" borderId="20" xfId="1" applyNumberFormat="1" applyFont="1" applyBorder="1"/>
    <xf numFmtId="184" fontId="4" fillId="0" borderId="7" xfId="1" applyNumberFormat="1" applyFont="1" applyBorder="1"/>
    <xf numFmtId="184" fontId="4" fillId="0" borderId="8" xfId="1" applyNumberFormat="1" applyFont="1" applyBorder="1"/>
    <xf numFmtId="184" fontId="4" fillId="0" borderId="13" xfId="1" applyNumberFormat="1" applyFont="1" applyBorder="1"/>
    <xf numFmtId="184" fontId="4" fillId="0" borderId="0" xfId="1" applyNumberFormat="1" applyFont="1" applyBorder="1"/>
    <xf numFmtId="3" fontId="4" fillId="0" borderId="0" xfId="0" applyNumberFormat="1" applyFont="1" applyAlignment="1">
      <alignment horizontal="left" indent="1"/>
    </xf>
    <xf numFmtId="182" fontId="5" fillId="0" borderId="4" xfId="1" applyNumberFormat="1" applyFont="1" applyBorder="1" applyAlignment="1">
      <alignment horizontal="right"/>
    </xf>
    <xf numFmtId="192" fontId="5" fillId="0" borderId="4" xfId="1" applyNumberFormat="1" applyFont="1" applyBorder="1" applyAlignment="1">
      <alignment horizontal="right"/>
    </xf>
    <xf numFmtId="192" fontId="4" fillId="0" borderId="0" xfId="1" applyNumberFormat="1" applyFont="1"/>
    <xf numFmtId="191" fontId="4" fillId="0" borderId="0" xfId="1" applyNumberFormat="1" applyFont="1"/>
    <xf numFmtId="10" fontId="0" fillId="0" borderId="0" xfId="0" applyNumberFormat="1"/>
    <xf numFmtId="172" fontId="4" fillId="0" borderId="0" xfId="0" applyNumberFormat="1" applyFont="1"/>
    <xf numFmtId="172" fontId="4" fillId="0" borderId="5" xfId="0" applyNumberFormat="1" applyFont="1" applyBorder="1"/>
    <xf numFmtId="0" fontId="2" fillId="0" borderId="0" xfId="0" applyFont="1"/>
    <xf numFmtId="193" fontId="22" fillId="0" borderId="0" xfId="0" applyNumberFormat="1" applyFont="1" applyAlignment="1">
      <alignment horizontal="right"/>
    </xf>
    <xf numFmtId="193" fontId="4" fillId="0" borderId="0" xfId="1" applyNumberFormat="1" applyFont="1" applyBorder="1"/>
    <xf numFmtId="193" fontId="19" fillId="9" borderId="0" xfId="0" applyNumberFormat="1" applyFont="1" applyFill="1"/>
    <xf numFmtId="193" fontId="19" fillId="9" borderId="16" xfId="0" applyNumberFormat="1" applyFont="1" applyFill="1" applyBorder="1"/>
    <xf numFmtId="193" fontId="19" fillId="9" borderId="10" xfId="0" applyNumberFormat="1" applyFont="1" applyFill="1" applyBorder="1"/>
    <xf numFmtId="193" fontId="19" fillId="9" borderId="11" xfId="0" applyNumberFormat="1" applyFont="1" applyFill="1" applyBorder="1"/>
    <xf numFmtId="193" fontId="4" fillId="0" borderId="0" xfId="0" applyNumberFormat="1" applyFont="1"/>
    <xf numFmtId="193" fontId="10" fillId="0" borderId="0" xfId="0" applyNumberFormat="1" applyFont="1" applyAlignment="1">
      <alignment horizontal="right"/>
    </xf>
    <xf numFmtId="193" fontId="9" fillId="0" borderId="0" xfId="0" applyNumberFormat="1" applyFont="1" applyAlignment="1">
      <alignment horizontal="right"/>
    </xf>
    <xf numFmtId="193" fontId="22" fillId="0" borderId="0" xfId="1" applyNumberFormat="1" applyFont="1" applyBorder="1"/>
    <xf numFmtId="193" fontId="23" fillId="0" borderId="0" xfId="1" applyNumberFormat="1" applyFont="1" applyBorder="1"/>
    <xf numFmtId="0" fontId="19" fillId="11" borderId="21" xfId="0" applyFont="1" applyFill="1" applyBorder="1" applyAlignment="1">
      <alignment vertical="center"/>
    </xf>
    <xf numFmtId="0" fontId="19" fillId="11" borderId="17" xfId="0" applyFont="1" applyFill="1" applyBorder="1" applyAlignment="1">
      <alignment vertical="center"/>
    </xf>
    <xf numFmtId="0" fontId="19" fillId="11" borderId="22" xfId="0" applyFont="1" applyFill="1" applyBorder="1" applyAlignment="1">
      <alignment vertical="center"/>
    </xf>
    <xf numFmtId="0" fontId="19" fillId="11" borderId="18" xfId="0" applyFont="1" applyFill="1" applyBorder="1" applyAlignment="1">
      <alignment vertical="center"/>
    </xf>
    <xf numFmtId="0" fontId="19" fillId="11" borderId="23" xfId="0" applyFont="1" applyFill="1" applyBorder="1" applyAlignment="1">
      <alignment vertical="center"/>
    </xf>
    <xf numFmtId="0" fontId="37" fillId="11" borderId="6" xfId="0" applyFont="1" applyFill="1" applyBorder="1" applyAlignment="1">
      <alignment vertical="center"/>
    </xf>
    <xf numFmtId="0" fontId="19" fillId="11" borderId="0" xfId="0" applyFont="1" applyFill="1" applyAlignment="1">
      <alignment vertical="center"/>
    </xf>
    <xf numFmtId="0" fontId="34" fillId="11" borderId="0" xfId="0" applyFont="1" applyFill="1" applyAlignment="1">
      <alignment vertical="center"/>
    </xf>
    <xf numFmtId="0" fontId="35" fillId="11" borderId="0" xfId="0" applyFont="1" applyFill="1" applyAlignment="1">
      <alignment horizontal="left" vertical="center"/>
    </xf>
    <xf numFmtId="0" fontId="36" fillId="11" borderId="0" xfId="0" applyFont="1" applyFill="1" applyAlignment="1">
      <alignment horizontal="left" vertical="center"/>
    </xf>
    <xf numFmtId="0" fontId="32" fillId="0" borderId="0" xfId="2" applyBorder="1"/>
    <xf numFmtId="0" fontId="40" fillId="0" borderId="0" xfId="2" applyFont="1" applyBorder="1"/>
    <xf numFmtId="0" fontId="37" fillId="11" borderId="0" xfId="0" applyFont="1" applyFill="1" applyAlignment="1">
      <alignment vertical="center"/>
    </xf>
    <xf numFmtId="0" fontId="19" fillId="11" borderId="0" xfId="0" applyFont="1" applyFill="1" applyAlignment="1">
      <alignment horizontal="left" vertical="center"/>
    </xf>
    <xf numFmtId="0" fontId="29" fillId="12" borderId="0" xfId="0" applyFont="1" applyFill="1" applyAlignment="1">
      <alignment horizontal="center" vertical="center"/>
    </xf>
    <xf numFmtId="0" fontId="29" fillId="0" borderId="0" xfId="0" applyFont="1" applyAlignment="1">
      <alignment vertical="center"/>
    </xf>
    <xf numFmtId="0" fontId="39" fillId="11" borderId="0" xfId="0" applyFont="1" applyFill="1" applyAlignment="1">
      <alignment vertical="center"/>
    </xf>
    <xf numFmtId="0" fontId="10" fillId="13" borderId="0" xfId="0" applyFont="1" applyFill="1" applyAlignment="1">
      <alignment vertical="center"/>
    </xf>
    <xf numFmtId="0" fontId="19" fillId="13" borderId="0" xfId="0" applyFont="1" applyFill="1" applyAlignment="1">
      <alignment vertical="center"/>
    </xf>
    <xf numFmtId="0" fontId="10" fillId="13" borderId="0" xfId="0" applyFont="1" applyFill="1"/>
    <xf numFmtId="0" fontId="4" fillId="13" borderId="0" xfId="0" applyFont="1" applyFill="1"/>
    <xf numFmtId="0" fontId="16" fillId="0" borderId="23" xfId="0" applyFont="1" applyBorder="1"/>
    <xf numFmtId="0" fontId="41" fillId="0" borderId="0" xfId="0" applyFont="1" applyAlignment="1">
      <alignment horizontal="left" vertical="center" wrapText="1"/>
    </xf>
    <xf numFmtId="0" fontId="32" fillId="0" borderId="0" xfId="2" applyBorder="1" applyAlignment="1">
      <alignment horizontal="left" vertical="center"/>
    </xf>
    <xf numFmtId="2" fontId="0" fillId="0" borderId="0" xfId="1" applyNumberFormat="1" applyFont="1"/>
    <xf numFmtId="0" fontId="31" fillId="0" borderId="0" xfId="0" applyFont="1" applyAlignment="1">
      <alignment horizontal="center"/>
    </xf>
    <xf numFmtId="0" fontId="2" fillId="0" borderId="6" xfId="0" applyFont="1" applyBorder="1" applyAlignment="1">
      <alignment horizontal="left"/>
    </xf>
    <xf numFmtId="0" fontId="2" fillId="0" borderId="6" xfId="0" applyFont="1" applyBorder="1" applyAlignment="1">
      <alignment horizontal="right"/>
    </xf>
    <xf numFmtId="0" fontId="2" fillId="0" borderId="6" xfId="0" applyFont="1" applyBorder="1"/>
    <xf numFmtId="0" fontId="0" fillId="0" borderId="6" xfId="0" applyBorder="1"/>
    <xf numFmtId="0" fontId="31" fillId="0" borderId="0" xfId="0" applyFont="1"/>
    <xf numFmtId="2" fontId="2" fillId="0" borderId="6" xfId="1" applyNumberFormat="1" applyFont="1" applyBorder="1"/>
    <xf numFmtId="0" fontId="42" fillId="0" borderId="0" xfId="0" applyFont="1" applyAlignment="1">
      <alignment horizontal="center"/>
    </xf>
    <xf numFmtId="2" fontId="2" fillId="0" borderId="0" xfId="1" applyNumberFormat="1" applyFont="1"/>
    <xf numFmtId="0" fontId="0" fillId="14" borderId="0" xfId="0" applyFill="1"/>
    <xf numFmtId="186" fontId="30" fillId="0" borderId="0" xfId="0" applyNumberFormat="1" applyFont="1"/>
    <xf numFmtId="166" fontId="43" fillId="0" borderId="0" xfId="0" applyNumberFormat="1" applyFont="1"/>
    <xf numFmtId="179" fontId="0" fillId="0" borderId="0" xfId="0" applyNumberFormat="1"/>
    <xf numFmtId="166" fontId="0" fillId="0" borderId="0" xfId="1" applyNumberFormat="1" applyFont="1"/>
    <xf numFmtId="0" fontId="30" fillId="0" borderId="0" xfId="0" applyFont="1"/>
    <xf numFmtId="0" fontId="2" fillId="14" borderId="0" xfId="0" applyFont="1" applyFill="1"/>
    <xf numFmtId="9" fontId="0" fillId="0" borderId="0" xfId="0" applyNumberFormat="1"/>
    <xf numFmtId="2" fontId="30" fillId="0" borderId="0" xfId="1" applyNumberFormat="1" applyFont="1"/>
    <xf numFmtId="186" fontId="44" fillId="0" borderId="0" xfId="0" applyNumberFormat="1" applyFont="1"/>
    <xf numFmtId="186" fontId="2" fillId="0" borderId="0" xfId="0" applyNumberFormat="1" applyFont="1"/>
    <xf numFmtId="179" fontId="0" fillId="0" borderId="0" xfId="1" applyNumberFormat="1" applyFont="1"/>
    <xf numFmtId="179" fontId="2" fillId="0" borderId="0" xfId="0" applyNumberFormat="1" applyFont="1"/>
    <xf numFmtId="166" fontId="2" fillId="0" borderId="0" xfId="1" applyNumberFormat="1" applyFont="1"/>
    <xf numFmtId="186" fontId="45" fillId="0" borderId="0" xfId="0" applyNumberFormat="1" applyFont="1"/>
    <xf numFmtId="186" fontId="0" fillId="0" borderId="0" xfId="0" applyNumberFormat="1"/>
    <xf numFmtId="14" fontId="29" fillId="0" borderId="5" xfId="0" applyNumberFormat="1" applyFont="1" applyBorder="1" applyAlignment="1">
      <alignment horizontal="right"/>
    </xf>
    <xf numFmtId="166" fontId="10" fillId="0" borderId="0" xfId="0" applyNumberFormat="1" applyFont="1" applyAlignment="1">
      <alignment horizontal="right"/>
    </xf>
    <xf numFmtId="166" fontId="9" fillId="0" borderId="0" xfId="0" applyNumberFormat="1" applyFont="1" applyAlignment="1">
      <alignment horizontal="right"/>
    </xf>
    <xf numFmtId="196" fontId="4" fillId="0" borderId="0" xfId="0" applyNumberFormat="1" applyFont="1"/>
    <xf numFmtId="0" fontId="9" fillId="0" borderId="0" xfId="0" applyFont="1"/>
    <xf numFmtId="194" fontId="48" fillId="0" borderId="0" xfId="0" applyNumberFormat="1" applyFont="1"/>
    <xf numFmtId="3" fontId="48" fillId="0" borderId="0" xfId="0" applyNumberFormat="1" applyFont="1"/>
    <xf numFmtId="182" fontId="11" fillId="0" borderId="0" xfId="0" applyNumberFormat="1" applyFont="1" applyAlignment="1">
      <alignment horizontal="left"/>
    </xf>
    <xf numFmtId="194" fontId="9" fillId="0" borderId="0" xfId="0" applyNumberFormat="1" applyFont="1"/>
    <xf numFmtId="194" fontId="49" fillId="0" borderId="0" xfId="0" applyNumberFormat="1" applyFont="1" applyAlignment="1">
      <alignment horizontal="right"/>
    </xf>
    <xf numFmtId="0" fontId="4" fillId="0" borderId="0" xfId="0" applyFont="1" applyAlignment="1">
      <alignment horizontal="left" wrapText="1"/>
    </xf>
    <xf numFmtId="0" fontId="4" fillId="0" borderId="0" xfId="0" applyFont="1" applyAlignment="1">
      <alignment horizontal="right" wrapText="1"/>
    </xf>
    <xf numFmtId="165" fontId="4" fillId="0" borderId="0" xfId="0" applyNumberFormat="1" applyFont="1" applyAlignment="1">
      <alignment horizontal="right" vertical="top"/>
    </xf>
    <xf numFmtId="168" fontId="4" fillId="0" borderId="0" xfId="0" applyNumberFormat="1" applyFont="1" applyAlignment="1">
      <alignment horizontal="right" vertical="top"/>
    </xf>
    <xf numFmtId="0" fontId="5" fillId="0" borderId="0" xfId="0" applyFont="1" applyAlignment="1">
      <alignment horizontal="right" vertical="top"/>
    </xf>
    <xf numFmtId="10" fontId="8" fillId="0" borderId="0" xfId="0" applyNumberFormat="1" applyFont="1" applyAlignment="1">
      <alignment horizontal="right"/>
    </xf>
    <xf numFmtId="0" fontId="4" fillId="0" borderId="21" xfId="0" applyFont="1" applyBorder="1" applyAlignment="1">
      <alignment horizontal="left" vertical="top"/>
    </xf>
    <xf numFmtId="168" fontId="4" fillId="0" borderId="17" xfId="0" applyNumberFormat="1" applyFont="1" applyBorder="1" applyAlignment="1">
      <alignment horizontal="right" vertical="top"/>
    </xf>
    <xf numFmtId="0" fontId="5" fillId="0" borderId="17" xfId="0" applyFont="1" applyBorder="1" applyAlignment="1">
      <alignment horizontal="right" vertical="top"/>
    </xf>
    <xf numFmtId="10" fontId="4" fillId="0" borderId="17" xfId="0" applyNumberFormat="1" applyFont="1" applyBorder="1" applyAlignment="1">
      <alignment horizontal="right" vertical="top"/>
    </xf>
    <xf numFmtId="10" fontId="4" fillId="0" borderId="22" xfId="0" applyNumberFormat="1" applyFont="1" applyBorder="1" applyAlignment="1">
      <alignment horizontal="right" vertical="top"/>
    </xf>
    <xf numFmtId="0" fontId="5" fillId="0" borderId="21" xfId="0" applyFont="1" applyBorder="1" applyAlignment="1">
      <alignment horizontal="left" vertical="top"/>
    </xf>
    <xf numFmtId="0" fontId="4" fillId="0" borderId="18" xfId="0" applyFont="1" applyBorder="1" applyAlignment="1">
      <alignment horizontal="left" vertical="top"/>
    </xf>
    <xf numFmtId="10" fontId="4" fillId="0" borderId="0" xfId="0" applyNumberFormat="1" applyFont="1" applyAlignment="1">
      <alignment horizontal="right" vertical="top"/>
    </xf>
    <xf numFmtId="10" fontId="4" fillId="0" borderId="23" xfId="0" applyNumberFormat="1" applyFont="1" applyBorder="1" applyAlignment="1">
      <alignment horizontal="right" vertical="top"/>
    </xf>
    <xf numFmtId="0" fontId="5" fillId="0" borderId="18" xfId="0" applyFont="1" applyBorder="1" applyAlignment="1">
      <alignment horizontal="left" vertical="top"/>
    </xf>
    <xf numFmtId="10" fontId="5" fillId="0" borderId="0" xfId="0" applyNumberFormat="1" applyFont="1"/>
    <xf numFmtId="0" fontId="4" fillId="0" borderId="24" xfId="0" applyFont="1" applyBorder="1" applyAlignment="1">
      <alignment horizontal="left" vertical="top"/>
    </xf>
    <xf numFmtId="168" fontId="4" fillId="0" borderId="6" xfId="0" applyNumberFormat="1" applyFont="1" applyBorder="1" applyAlignment="1">
      <alignment horizontal="right" vertical="top"/>
    </xf>
    <xf numFmtId="0" fontId="4" fillId="0" borderId="6" xfId="0" applyFont="1" applyBorder="1" applyAlignment="1">
      <alignment horizontal="right" vertical="top"/>
    </xf>
    <xf numFmtId="10" fontId="4" fillId="0" borderId="6" xfId="0" applyNumberFormat="1" applyFont="1" applyBorder="1" applyAlignment="1">
      <alignment horizontal="right" vertical="top"/>
    </xf>
    <xf numFmtId="10" fontId="4" fillId="0" borderId="20" xfId="0" applyNumberFormat="1" applyFont="1" applyBorder="1" applyAlignment="1">
      <alignment horizontal="right" vertical="top"/>
    </xf>
    <xf numFmtId="0" fontId="5" fillId="0" borderId="24" xfId="0" applyFont="1" applyBorder="1" applyAlignment="1">
      <alignment horizontal="left" vertical="top"/>
    </xf>
    <xf numFmtId="10" fontId="4" fillId="0" borderId="21" xfId="0" applyNumberFormat="1" applyFont="1" applyBorder="1"/>
    <xf numFmtId="10" fontId="4" fillId="0" borderId="17" xfId="0" applyNumberFormat="1" applyFont="1" applyBorder="1"/>
    <xf numFmtId="10" fontId="4" fillId="0" borderId="22" xfId="0" applyNumberFormat="1" applyFont="1" applyBorder="1"/>
    <xf numFmtId="10" fontId="4" fillId="0" borderId="18" xfId="0" applyNumberFormat="1" applyFont="1" applyBorder="1"/>
    <xf numFmtId="10" fontId="4" fillId="0" borderId="23" xfId="0" applyNumberFormat="1" applyFont="1" applyBorder="1"/>
    <xf numFmtId="10" fontId="4" fillId="0" borderId="24" xfId="0" applyNumberFormat="1" applyFont="1" applyBorder="1"/>
    <xf numFmtId="10" fontId="4" fillId="0" borderId="6" xfId="0" applyNumberFormat="1" applyFont="1" applyBorder="1"/>
    <xf numFmtId="10" fontId="4" fillId="0" borderId="20" xfId="0" applyNumberFormat="1" applyFont="1" applyBorder="1"/>
    <xf numFmtId="0" fontId="5" fillId="0" borderId="0" xfId="0" applyFont="1" applyAlignment="1">
      <alignment horizontal="left" wrapText="1"/>
    </xf>
    <xf numFmtId="172" fontId="10" fillId="0" borderId="0" xfId="0" applyNumberFormat="1" applyFont="1" applyAlignment="1">
      <alignment horizontal="right" vertical="top"/>
    </xf>
    <xf numFmtId="172" fontId="9" fillId="0" borderId="21" xfId="0" applyNumberFormat="1" applyFont="1" applyBorder="1" applyAlignment="1">
      <alignment horizontal="right" vertical="top"/>
    </xf>
    <xf numFmtId="172" fontId="9" fillId="0" borderId="17" xfId="0" applyNumberFormat="1" applyFont="1" applyBorder="1" applyAlignment="1">
      <alignment horizontal="right" vertical="top"/>
    </xf>
    <xf numFmtId="172" fontId="9" fillId="0" borderId="22" xfId="0" applyNumberFormat="1" applyFont="1" applyBorder="1" applyAlignment="1">
      <alignment horizontal="right" vertical="top"/>
    </xf>
    <xf numFmtId="172" fontId="9" fillId="0" borderId="18" xfId="0" applyNumberFormat="1" applyFont="1" applyBorder="1" applyAlignment="1">
      <alignment horizontal="right" vertical="top"/>
    </xf>
    <xf numFmtId="172" fontId="9" fillId="0" borderId="0" xfId="0" applyNumberFormat="1" applyFont="1" applyAlignment="1">
      <alignment horizontal="right" vertical="top"/>
    </xf>
    <xf numFmtId="172" fontId="9" fillId="0" borderId="23" xfId="0" applyNumberFormat="1" applyFont="1" applyBorder="1" applyAlignment="1">
      <alignment horizontal="right" vertical="top"/>
    </xf>
    <xf numFmtId="172" fontId="9" fillId="0" borderId="24" xfId="0" applyNumberFormat="1" applyFont="1" applyBorder="1" applyAlignment="1">
      <alignment horizontal="right" vertical="top"/>
    </xf>
    <xf numFmtId="172" fontId="9" fillId="0" borderId="6" xfId="0" applyNumberFormat="1" applyFont="1" applyBorder="1" applyAlignment="1">
      <alignment horizontal="right" vertical="top"/>
    </xf>
    <xf numFmtId="172" fontId="9" fillId="0" borderId="20" xfId="0" applyNumberFormat="1" applyFont="1" applyBorder="1" applyAlignment="1">
      <alignment horizontal="right" vertical="top"/>
    </xf>
    <xf numFmtId="0" fontId="19" fillId="11" borderId="6" xfId="0" applyFont="1" applyFill="1" applyBorder="1" applyAlignment="1">
      <alignment vertical="center"/>
    </xf>
    <xf numFmtId="186" fontId="11" fillId="0" borderId="0" xfId="1" applyNumberFormat="1" applyFont="1"/>
    <xf numFmtId="182" fontId="5" fillId="0" borderId="0" xfId="1" applyNumberFormat="1" applyFont="1" applyAlignment="1">
      <alignment horizontal="right"/>
    </xf>
    <xf numFmtId="182" fontId="5" fillId="0" borderId="21" xfId="0" applyNumberFormat="1" applyFont="1" applyBorder="1" applyAlignment="1">
      <alignment horizontal="left" vertical="top"/>
    </xf>
    <xf numFmtId="182" fontId="4" fillId="0" borderId="17" xfId="1" applyNumberFormat="1" applyFont="1" applyBorder="1"/>
    <xf numFmtId="182" fontId="5" fillId="0" borderId="17" xfId="0" applyNumberFormat="1" applyFont="1" applyBorder="1"/>
    <xf numFmtId="182" fontId="5" fillId="0" borderId="18" xfId="0" applyNumberFormat="1" applyFont="1" applyBorder="1" applyAlignment="1">
      <alignment horizontal="left" vertical="top"/>
    </xf>
    <xf numFmtId="182" fontId="5" fillId="0" borderId="24" xfId="0" applyNumberFormat="1" applyFont="1" applyBorder="1" applyAlignment="1">
      <alignment horizontal="left" vertical="top"/>
    </xf>
    <xf numFmtId="197" fontId="9" fillId="0" borderId="0" xfId="1" applyNumberFormat="1" applyFont="1"/>
    <xf numFmtId="184" fontId="48" fillId="0" borderId="0" xfId="1" applyNumberFormat="1" applyFont="1"/>
    <xf numFmtId="182" fontId="50" fillId="0" borderId="0" xfId="0" applyNumberFormat="1" applyFont="1"/>
    <xf numFmtId="184" fontId="48" fillId="0" borderId="6" xfId="1" applyNumberFormat="1" applyFont="1" applyBorder="1"/>
    <xf numFmtId="166" fontId="4" fillId="0" borderId="18" xfId="1" applyNumberFormat="1" applyFont="1" applyBorder="1"/>
    <xf numFmtId="166" fontId="4" fillId="0" borderId="23" xfId="1" applyNumberFormat="1" applyFont="1" applyBorder="1"/>
    <xf numFmtId="14" fontId="9" fillId="0" borderId="0" xfId="0" applyNumberFormat="1" applyFont="1" applyAlignment="1">
      <alignment horizontal="right"/>
    </xf>
    <xf numFmtId="1" fontId="9" fillId="0" borderId="0" xfId="0" applyNumberFormat="1" applyFont="1" applyAlignment="1">
      <alignment horizontal="right"/>
    </xf>
    <xf numFmtId="182" fontId="16" fillId="0" borderId="0" xfId="0" applyNumberFormat="1" applyFont="1" applyAlignment="1">
      <alignment horizontal="left" vertical="top" indent="1"/>
    </xf>
    <xf numFmtId="0" fontId="51" fillId="8" borderId="0" xfId="0" applyFont="1" applyFill="1"/>
    <xf numFmtId="0" fontId="44" fillId="8" borderId="0" xfId="0" applyFont="1" applyFill="1"/>
    <xf numFmtId="166" fontId="4" fillId="0" borderId="0" xfId="1" applyNumberFormat="1" applyFont="1" applyBorder="1"/>
    <xf numFmtId="182" fontId="4" fillId="0" borderId="21" xfId="1" applyNumberFormat="1" applyFont="1" applyBorder="1"/>
    <xf numFmtId="190" fontId="4" fillId="0" borderId="18" xfId="1" applyNumberFormat="1" applyFont="1" applyBorder="1"/>
    <xf numFmtId="184" fontId="48" fillId="0" borderId="17" xfId="1" applyNumberFormat="1" applyFont="1" applyBorder="1"/>
    <xf numFmtId="184" fontId="48" fillId="0" borderId="0" xfId="1" applyNumberFormat="1" applyFont="1" applyBorder="1"/>
    <xf numFmtId="184" fontId="48" fillId="0" borderId="8" xfId="1" applyNumberFormat="1" applyFont="1" applyBorder="1"/>
    <xf numFmtId="171" fontId="4" fillId="0" borderId="18" xfId="1" applyNumberFormat="1" applyFont="1" applyBorder="1"/>
    <xf numFmtId="0" fontId="1" fillId="0" borderId="0" xfId="0" applyFont="1" applyAlignment="1">
      <alignment horizontal="left" vertical="top"/>
    </xf>
    <xf numFmtId="40" fontId="4" fillId="0" borderId="0" xfId="0" applyNumberFormat="1" applyFont="1"/>
    <xf numFmtId="0" fontId="54" fillId="8" borderId="0" xfId="0" applyFont="1" applyFill="1"/>
    <xf numFmtId="0" fontId="56" fillId="0" borderId="0" xfId="0" applyFont="1"/>
    <xf numFmtId="0" fontId="29" fillId="0" borderId="26" xfId="3" applyFont="1" applyBorder="1" applyAlignment="1">
      <alignment horizontal="left"/>
    </xf>
    <xf numFmtId="199" fontId="29" fillId="0" borderId="26" xfId="3" applyNumberFormat="1" applyFont="1" applyBorder="1" applyAlignment="1">
      <alignment horizontal="left"/>
    </xf>
    <xf numFmtId="0" fontId="9" fillId="0" borderId="26" xfId="3" applyFont="1" applyBorder="1"/>
    <xf numFmtId="0" fontId="29" fillId="0" borderId="26" xfId="3" applyFont="1" applyBorder="1" applyAlignment="1">
      <alignment horizontal="right"/>
    </xf>
    <xf numFmtId="188" fontId="29" fillId="0" borderId="26" xfId="3" applyNumberFormat="1" applyFont="1" applyBorder="1" applyAlignment="1">
      <alignment horizontal="left"/>
    </xf>
    <xf numFmtId="0" fontId="9" fillId="0" borderId="0" xfId="4" applyNumberFormat="1" applyFont="1" applyAlignment="1" applyProtection="1">
      <alignment horizontal="left"/>
      <protection locked="0"/>
    </xf>
    <xf numFmtId="0" fontId="9" fillId="0" borderId="0" xfId="4" applyNumberFormat="1" applyFont="1" applyBorder="1" applyAlignment="1" applyProtection="1">
      <alignment horizontal="left" indent="1"/>
      <protection locked="0"/>
    </xf>
    <xf numFmtId="0" fontId="9" fillId="0" borderId="0" xfId="3" applyFont="1"/>
    <xf numFmtId="0" fontId="9" fillId="0" borderId="0" xfId="4" applyNumberFormat="1" applyFont="1" applyFill="1" applyBorder="1" applyAlignment="1" applyProtection="1">
      <alignment horizontal="left" indent="1"/>
      <protection locked="0"/>
    </xf>
    <xf numFmtId="200" fontId="9" fillId="0" borderId="0" xfId="4" applyNumberFormat="1" applyFont="1" applyFill="1" applyBorder="1" applyProtection="1">
      <protection locked="0"/>
    </xf>
    <xf numFmtId="0" fontId="9" fillId="0" borderId="0" xfId="4" applyNumberFormat="1" applyFont="1" applyAlignment="1" applyProtection="1">
      <alignment horizontal="left" indent="1"/>
      <protection locked="0"/>
    </xf>
    <xf numFmtId="0" fontId="9" fillId="0" borderId="0" xfId="4" applyNumberFormat="1" applyFont="1" applyFill="1" applyAlignment="1" applyProtection="1">
      <alignment horizontal="left" indent="1"/>
      <protection locked="0"/>
    </xf>
    <xf numFmtId="199" fontId="22" fillId="0" borderId="0" xfId="0" applyNumberFormat="1" applyFont="1"/>
    <xf numFmtId="0" fontId="19" fillId="0" borderId="0" xfId="4" applyNumberFormat="1" applyFont="1" applyAlignment="1" applyProtection="1">
      <alignment horizontal="left" indent="1"/>
      <protection locked="0"/>
    </xf>
    <xf numFmtId="200" fontId="9" fillId="0" borderId="0" xfId="4" applyNumberFormat="1" applyFont="1" applyFill="1" applyProtection="1">
      <protection locked="0"/>
    </xf>
    <xf numFmtId="0" fontId="22" fillId="0" borderId="0" xfId="0" applyFont="1"/>
    <xf numFmtId="0" fontId="29" fillId="0" borderId="0" xfId="4" applyNumberFormat="1" applyFont="1" applyBorder="1" applyAlignment="1" applyProtection="1">
      <alignment horizontal="left" indent="1"/>
      <protection locked="0"/>
    </xf>
    <xf numFmtId="200" fontId="29" fillId="0" borderId="0" xfId="4" applyNumberFormat="1" applyFont="1" applyBorder="1" applyProtection="1">
      <protection locked="0"/>
    </xf>
    <xf numFmtId="0" fontId="1" fillId="0" borderId="0" xfId="0" applyFont="1"/>
    <xf numFmtId="0" fontId="5" fillId="0" borderId="7" xfId="0" applyFont="1" applyBorder="1"/>
    <xf numFmtId="0" fontId="5" fillId="0" borderId="8" xfId="0" applyFont="1" applyBorder="1"/>
    <xf numFmtId="9" fontId="38" fillId="0" borderId="13" xfId="0" applyNumberFormat="1" applyFont="1" applyBorder="1"/>
    <xf numFmtId="0" fontId="55" fillId="0" borderId="0" xfId="0" applyFont="1"/>
    <xf numFmtId="202" fontId="59" fillId="0" borderId="0" xfId="0" applyNumberFormat="1" applyFont="1" applyAlignment="1">
      <alignment horizontal="centerContinuous"/>
    </xf>
    <xf numFmtId="0" fontId="60" fillId="0" borderId="0" xfId="0" applyFont="1" applyAlignment="1">
      <alignment horizontal="centerContinuous"/>
    </xf>
    <xf numFmtId="0" fontId="60" fillId="0" borderId="0" xfId="0" applyFont="1"/>
    <xf numFmtId="189" fontId="21" fillId="0" borderId="27" xfId="0" applyNumberFormat="1" applyFont="1" applyBorder="1"/>
    <xf numFmtId="189" fontId="5" fillId="0" borderId="27" xfId="0" applyNumberFormat="1" applyFont="1" applyBorder="1"/>
    <xf numFmtId="204" fontId="5" fillId="0" borderId="0" xfId="0" applyNumberFormat="1" applyFont="1"/>
    <xf numFmtId="204" fontId="5" fillId="0" borderId="0" xfId="0" applyNumberFormat="1" applyFont="1" applyAlignment="1">
      <alignment horizontal="right"/>
    </xf>
    <xf numFmtId="0" fontId="61" fillId="0" borderId="0" xfId="0" applyFont="1" applyAlignment="1">
      <alignment horizontal="centerContinuous"/>
    </xf>
    <xf numFmtId="0" fontId="28" fillId="0" borderId="0" xfId="0" applyFont="1" applyAlignment="1">
      <alignment horizontal="centerContinuous"/>
    </xf>
    <xf numFmtId="0" fontId="5" fillId="0" borderId="26" xfId="0" applyFont="1" applyBorder="1"/>
    <xf numFmtId="203" fontId="9" fillId="0" borderId="0" xfId="0" applyNumberFormat="1" applyFont="1"/>
    <xf numFmtId="204" fontId="22" fillId="0" borderId="0" xfId="0" applyNumberFormat="1" applyFont="1"/>
    <xf numFmtId="199" fontId="23" fillId="0" borderId="0" xfId="0" applyNumberFormat="1" applyFont="1"/>
    <xf numFmtId="205" fontId="5" fillId="0" borderId="0" xfId="0" applyNumberFormat="1" applyFont="1"/>
    <xf numFmtId="0" fontId="5" fillId="0" borderId="26" xfId="0" applyFont="1" applyBorder="1" applyAlignment="1">
      <alignment horizontal="center"/>
    </xf>
    <xf numFmtId="206" fontId="23" fillId="0" borderId="0" xfId="0" applyNumberFormat="1" applyFont="1"/>
    <xf numFmtId="201" fontId="22" fillId="0" borderId="0" xfId="0" applyNumberFormat="1" applyFont="1" applyAlignment="1">
      <alignment horizontal="center"/>
    </xf>
    <xf numFmtId="204" fontId="22" fillId="0" borderId="0" xfId="0" applyNumberFormat="1" applyFont="1" applyAlignment="1">
      <alignment horizontal="center"/>
    </xf>
    <xf numFmtId="206" fontId="19" fillId="0" borderId="0" xfId="0" applyNumberFormat="1" applyFont="1"/>
    <xf numFmtId="164" fontId="22" fillId="0" borderId="0" xfId="0" applyNumberFormat="1" applyFont="1" applyAlignment="1">
      <alignment horizontal="right"/>
    </xf>
    <xf numFmtId="201" fontId="22" fillId="0" borderId="0" xfId="0" applyNumberFormat="1" applyFont="1"/>
    <xf numFmtId="207" fontId="3" fillId="0" borderId="0" xfId="0" applyNumberFormat="1" applyFont="1"/>
    <xf numFmtId="186" fontId="62" fillId="0" borderId="0" xfId="0" applyNumberFormat="1" applyFont="1"/>
    <xf numFmtId="0" fontId="37" fillId="15" borderId="0" xfId="0" applyFont="1" applyFill="1" applyAlignment="1">
      <alignment vertical="center"/>
    </xf>
    <xf numFmtId="0" fontId="63" fillId="12" borderId="0" xfId="0" applyFont="1" applyFill="1" applyAlignment="1">
      <alignment horizontal="center" vertical="center"/>
    </xf>
    <xf numFmtId="0" fontId="64" fillId="12" borderId="0" xfId="0" applyFont="1" applyFill="1" applyAlignment="1">
      <alignment horizontal="center" vertical="center"/>
    </xf>
    <xf numFmtId="168" fontId="48" fillId="0" borderId="0" xfId="0" applyNumberFormat="1" applyFont="1"/>
    <xf numFmtId="166" fontId="48" fillId="0" borderId="0" xfId="0" applyNumberFormat="1" applyFont="1"/>
    <xf numFmtId="175" fontId="48" fillId="0" borderId="0" xfId="0" applyNumberFormat="1" applyFont="1"/>
    <xf numFmtId="0" fontId="48" fillId="0" borderId="0" xfId="0" applyFont="1"/>
    <xf numFmtId="0" fontId="48" fillId="0" borderId="0" xfId="0" applyFont="1" applyAlignment="1">
      <alignment horizontal="right"/>
    </xf>
    <xf numFmtId="10" fontId="48" fillId="0" borderId="0" xfId="0" applyNumberFormat="1" applyFont="1" applyAlignment="1">
      <alignment horizontal="right"/>
    </xf>
    <xf numFmtId="166" fontId="48" fillId="0" borderId="0" xfId="0" applyNumberFormat="1" applyFont="1" applyAlignment="1">
      <alignment horizontal="right"/>
    </xf>
    <xf numFmtId="195" fontId="48" fillId="0" borderId="0" xfId="0" applyNumberFormat="1" applyFont="1" applyAlignment="1">
      <alignment horizontal="right"/>
    </xf>
    <xf numFmtId="14" fontId="48" fillId="0" borderId="0" xfId="0" applyNumberFormat="1" applyFont="1"/>
    <xf numFmtId="208" fontId="48" fillId="0" borderId="0" xfId="0" applyNumberFormat="1" applyFont="1"/>
    <xf numFmtId="14" fontId="48" fillId="0" borderId="0" xfId="0" applyNumberFormat="1" applyFont="1" applyAlignment="1">
      <alignment horizontal="right"/>
    </xf>
    <xf numFmtId="176" fontId="48" fillId="0" borderId="0" xfId="0" applyNumberFormat="1" applyFont="1" applyAlignment="1">
      <alignment horizontal="right"/>
    </xf>
    <xf numFmtId="176" fontId="64" fillId="0" borderId="5" xfId="0" applyNumberFormat="1" applyFont="1" applyBorder="1" applyAlignment="1">
      <alignment horizontal="right"/>
    </xf>
    <xf numFmtId="181" fontId="48" fillId="0" borderId="0" xfId="0" applyNumberFormat="1" applyFont="1"/>
    <xf numFmtId="179" fontId="48" fillId="0" borderId="0" xfId="1" applyNumberFormat="1" applyFont="1" applyBorder="1"/>
    <xf numFmtId="179" fontId="48" fillId="0" borderId="9" xfId="1" applyNumberFormat="1" applyFont="1" applyBorder="1"/>
    <xf numFmtId="179" fontId="65" fillId="0" borderId="7" xfId="0" applyNumberFormat="1" applyFont="1" applyBorder="1" applyAlignment="1">
      <alignment horizontal="right"/>
    </xf>
    <xf numFmtId="179" fontId="65" fillId="0" borderId="8" xfId="0" applyNumberFormat="1" applyFont="1" applyBorder="1" applyAlignment="1">
      <alignment horizontal="right"/>
    </xf>
    <xf numFmtId="179" fontId="65" fillId="0" borderId="13" xfId="0" applyNumberFormat="1" applyFont="1" applyBorder="1" applyAlignment="1">
      <alignment horizontal="right"/>
    </xf>
    <xf numFmtId="0" fontId="65" fillId="0" borderId="0" xfId="0" applyFont="1" applyAlignment="1">
      <alignment horizontal="center"/>
    </xf>
    <xf numFmtId="0" fontId="6" fillId="2" borderId="0" xfId="0" applyFont="1" applyFill="1" applyAlignment="1">
      <alignment horizontal="center"/>
    </xf>
    <xf numFmtId="185" fontId="23" fillId="0" borderId="0" xfId="0" applyNumberFormat="1" applyFont="1" applyAlignment="1">
      <alignment horizontal="center"/>
    </xf>
    <xf numFmtId="193" fontId="23" fillId="0" borderId="0" xfId="0" applyNumberFormat="1" applyFont="1" applyAlignment="1">
      <alignment horizontal="center"/>
    </xf>
    <xf numFmtId="186" fontId="22" fillId="0" borderId="0" xfId="0" applyNumberFormat="1" applyFont="1" applyAlignment="1">
      <alignment horizontal="center"/>
    </xf>
    <xf numFmtId="179" fontId="48" fillId="0" borderId="0" xfId="0" applyNumberFormat="1" applyFont="1"/>
    <xf numFmtId="179" fontId="9" fillId="0" borderId="0" xfId="0" applyNumberFormat="1" applyFont="1"/>
    <xf numFmtId="196" fontId="4" fillId="0" borderId="0" xfId="1" applyNumberFormat="1" applyFont="1" applyAlignment="1">
      <alignment horizontal="right"/>
    </xf>
    <xf numFmtId="186" fontId="65" fillId="0" borderId="7" xfId="0" applyNumberFormat="1" applyFont="1" applyBorder="1" applyAlignment="1">
      <alignment horizontal="right"/>
    </xf>
    <xf numFmtId="186" fontId="65" fillId="0" borderId="8" xfId="0" applyNumberFormat="1" applyFont="1" applyBorder="1" applyAlignment="1">
      <alignment horizontal="right"/>
    </xf>
    <xf numFmtId="186" fontId="65" fillId="0" borderId="13" xfId="0" applyNumberFormat="1" applyFont="1" applyBorder="1" applyAlignment="1">
      <alignment horizontal="right"/>
    </xf>
    <xf numFmtId="186" fontId="48" fillId="0" borderId="0" xfId="1" applyNumberFormat="1" applyFont="1" applyBorder="1"/>
    <xf numFmtId="186" fontId="48" fillId="0" borderId="9" xfId="1" applyNumberFormat="1" applyFont="1" applyBorder="1"/>
    <xf numFmtId="186" fontId="48" fillId="0" borderId="6" xfId="1" applyNumberFormat="1" applyFont="1" applyBorder="1"/>
    <xf numFmtId="186" fontId="5" fillId="0" borderId="0" xfId="0" applyNumberFormat="1" applyFont="1"/>
    <xf numFmtId="186" fontId="19" fillId="9" borderId="16" xfId="0" applyNumberFormat="1" applyFont="1" applyFill="1" applyBorder="1"/>
    <xf numFmtId="186" fontId="19" fillId="9" borderId="0" xfId="0" applyNumberFormat="1" applyFont="1" applyFill="1"/>
    <xf numFmtId="186" fontId="19" fillId="9" borderId="10" xfId="0" applyNumberFormat="1" applyFont="1" applyFill="1" applyBorder="1"/>
    <xf numFmtId="186" fontId="19" fillId="9" borderId="11" xfId="0" applyNumberFormat="1" applyFont="1" applyFill="1" applyBorder="1"/>
    <xf numFmtId="186" fontId="10" fillId="0" borderId="0" xfId="1" applyNumberFormat="1" applyFont="1" applyBorder="1"/>
    <xf numFmtId="186" fontId="4" fillId="0" borderId="0" xfId="1" applyNumberFormat="1" applyFont="1" applyBorder="1"/>
    <xf numFmtId="186" fontId="10" fillId="0" borderId="9" xfId="1" applyNumberFormat="1" applyFont="1" applyBorder="1"/>
    <xf numFmtId="186" fontId="9" fillId="0" borderId="0" xfId="1" applyNumberFormat="1" applyFont="1" applyBorder="1"/>
    <xf numFmtId="186" fontId="9" fillId="0" borderId="6" xfId="1" applyNumberFormat="1" applyFont="1" applyBorder="1"/>
    <xf numFmtId="186" fontId="48" fillId="0" borderId="20" xfId="1" applyNumberFormat="1" applyFont="1" applyBorder="1"/>
    <xf numFmtId="186" fontId="48" fillId="0" borderId="11" xfId="1" applyNumberFormat="1" applyFont="1" applyBorder="1"/>
    <xf numFmtId="186" fontId="48" fillId="0" borderId="12" xfId="1" applyNumberFormat="1" applyFont="1" applyBorder="1"/>
    <xf numFmtId="186" fontId="4" fillId="0" borderId="0" xfId="1" applyNumberFormat="1" applyFont="1"/>
    <xf numFmtId="186" fontId="4" fillId="0" borderId="11" xfId="1" applyNumberFormat="1" applyFont="1" applyBorder="1"/>
    <xf numFmtId="186" fontId="4" fillId="0" borderId="9" xfId="1" applyNumberFormat="1" applyFont="1" applyBorder="1"/>
    <xf numFmtId="186" fontId="4" fillId="0" borderId="12" xfId="1" applyNumberFormat="1" applyFont="1" applyBorder="1"/>
    <xf numFmtId="186" fontId="65" fillId="0" borderId="0" xfId="0" applyNumberFormat="1" applyFont="1"/>
    <xf numFmtId="186" fontId="65" fillId="0" borderId="0" xfId="1" applyNumberFormat="1" applyFont="1" applyBorder="1"/>
    <xf numFmtId="186" fontId="4" fillId="0" borderId="0" xfId="0" applyNumberFormat="1" applyFont="1" applyAlignment="1">
      <alignment horizontal="right"/>
    </xf>
    <xf numFmtId="186" fontId="4" fillId="0" borderId="6" xfId="0" applyNumberFormat="1" applyFont="1" applyBorder="1" applyAlignment="1">
      <alignment horizontal="right"/>
    </xf>
    <xf numFmtId="186" fontId="4" fillId="0" borderId="20" xfId="0" applyNumberFormat="1" applyFont="1" applyBorder="1" applyAlignment="1">
      <alignment horizontal="right"/>
    </xf>
    <xf numFmtId="186" fontId="23" fillId="0" borderId="0" xfId="1" applyNumberFormat="1" applyFont="1" applyBorder="1"/>
    <xf numFmtId="186" fontId="23" fillId="0" borderId="0" xfId="1" applyNumberFormat="1" applyFont="1"/>
    <xf numFmtId="186" fontId="65" fillId="0" borderId="0" xfId="1" applyNumberFormat="1" applyFont="1"/>
    <xf numFmtId="186" fontId="48" fillId="0" borderId="0" xfId="1" applyNumberFormat="1" applyFont="1"/>
    <xf numFmtId="186" fontId="24" fillId="0" borderId="0" xfId="1" applyNumberFormat="1" applyFont="1"/>
    <xf numFmtId="186" fontId="4" fillId="0" borderId="19" xfId="1" applyNumberFormat="1" applyFont="1" applyBorder="1"/>
    <xf numFmtId="186" fontId="4" fillId="0" borderId="10" xfId="1" applyNumberFormat="1" applyFont="1" applyBorder="1"/>
    <xf numFmtId="186" fontId="22" fillId="0" borderId="7" xfId="0" applyNumberFormat="1" applyFont="1" applyBorder="1" applyAlignment="1">
      <alignment horizontal="right"/>
    </xf>
    <xf numFmtId="186" fontId="22" fillId="0" borderId="8" xfId="0" applyNumberFormat="1" applyFont="1" applyBorder="1" applyAlignment="1">
      <alignment horizontal="right"/>
    </xf>
    <xf numFmtId="186" fontId="22" fillId="0" borderId="13" xfId="0" applyNumberFormat="1" applyFont="1" applyBorder="1" applyAlignment="1">
      <alignment horizontal="right"/>
    </xf>
    <xf numFmtId="195" fontId="65" fillId="0" borderId="0" xfId="0" applyNumberFormat="1" applyFont="1" applyAlignment="1">
      <alignment horizontal="center"/>
    </xf>
    <xf numFmtId="0" fontId="18" fillId="0" borderId="26" xfId="0" applyFont="1" applyBorder="1" applyAlignment="1">
      <alignment horizontal="center"/>
    </xf>
    <xf numFmtId="3" fontId="1" fillId="0" borderId="0" xfId="1" applyNumberFormat="1" applyFont="1"/>
    <xf numFmtId="209" fontId="4" fillId="0" borderId="7" xfId="1" applyNumberFormat="1" applyFont="1" applyBorder="1" applyAlignment="1">
      <alignment horizontal="right"/>
    </xf>
    <xf numFmtId="209" fontId="4" fillId="0" borderId="8" xfId="1" applyNumberFormat="1" applyFont="1" applyBorder="1" applyAlignment="1">
      <alignment horizontal="right"/>
    </xf>
    <xf numFmtId="209" fontId="4" fillId="0" borderId="13" xfId="1" applyNumberFormat="1" applyFont="1" applyBorder="1" applyAlignment="1">
      <alignment horizontal="right"/>
    </xf>
    <xf numFmtId="166" fontId="48" fillId="16" borderId="2" xfId="0" applyNumberFormat="1" applyFont="1" applyFill="1" applyBorder="1"/>
    <xf numFmtId="186" fontId="48" fillId="16" borderId="2" xfId="0" applyNumberFormat="1" applyFont="1" applyFill="1" applyBorder="1" applyAlignment="1">
      <alignment horizontal="center"/>
    </xf>
    <xf numFmtId="186" fontId="48" fillId="16" borderId="7" xfId="0" applyNumberFormat="1" applyFont="1" applyFill="1" applyBorder="1" applyAlignment="1">
      <alignment horizontal="right"/>
    </xf>
    <xf numFmtId="186" fontId="9" fillId="16" borderId="8" xfId="0" applyNumberFormat="1" applyFont="1" applyFill="1" applyBorder="1" applyAlignment="1">
      <alignment horizontal="right"/>
    </xf>
    <xf numFmtId="186" fontId="9" fillId="16" borderId="13" xfId="0" applyNumberFormat="1" applyFont="1" applyFill="1" applyBorder="1" applyAlignment="1">
      <alignment horizontal="right"/>
    </xf>
    <xf numFmtId="186" fontId="48" fillId="16" borderId="13" xfId="0" applyNumberFormat="1" applyFont="1" applyFill="1" applyBorder="1" applyAlignment="1">
      <alignment horizontal="right"/>
    </xf>
    <xf numFmtId="186" fontId="48" fillId="16" borderId="2" xfId="0" applyNumberFormat="1" applyFont="1" applyFill="1" applyBorder="1" applyAlignment="1">
      <alignment horizontal="right"/>
    </xf>
    <xf numFmtId="186" fontId="9" fillId="16" borderId="2" xfId="0" applyNumberFormat="1" applyFont="1" applyFill="1" applyBorder="1" applyAlignment="1">
      <alignment horizontal="right"/>
    </xf>
    <xf numFmtId="186" fontId="4" fillId="16" borderId="8" xfId="1" applyNumberFormat="1" applyFont="1" applyFill="1" applyBorder="1"/>
    <xf numFmtId="186" fontId="4" fillId="16" borderId="13" xfId="1" applyNumberFormat="1" applyFont="1" applyFill="1" applyBorder="1"/>
    <xf numFmtId="179" fontId="4" fillId="16" borderId="8" xfId="1" applyNumberFormat="1" applyFont="1" applyFill="1" applyBorder="1"/>
    <xf numFmtId="179" fontId="4" fillId="16" borderId="13" xfId="1" applyNumberFormat="1" applyFont="1" applyFill="1" applyBorder="1"/>
    <xf numFmtId="186" fontId="9" fillId="16" borderId="7" xfId="1" applyNumberFormat="1" applyFont="1" applyFill="1" applyBorder="1"/>
    <xf numFmtId="186" fontId="9" fillId="16" borderId="8" xfId="1" applyNumberFormat="1" applyFont="1" applyFill="1" applyBorder="1"/>
    <xf numFmtId="186" fontId="9" fillId="16" borderId="13" xfId="1" applyNumberFormat="1" applyFont="1" applyFill="1" applyBorder="1"/>
    <xf numFmtId="186" fontId="4" fillId="16" borderId="7" xfId="1" applyNumberFormat="1" applyFont="1" applyFill="1" applyBorder="1"/>
    <xf numFmtId="186" fontId="10" fillId="16" borderId="7" xfId="1" applyNumberFormat="1" applyFont="1" applyFill="1" applyBorder="1"/>
    <xf numFmtId="186" fontId="10" fillId="16" borderId="8" xfId="1" applyNumberFormat="1" applyFont="1" applyFill="1" applyBorder="1"/>
    <xf numFmtId="186" fontId="10" fillId="16" borderId="13" xfId="1" applyNumberFormat="1" applyFont="1" applyFill="1" applyBorder="1"/>
    <xf numFmtId="186" fontId="48" fillId="16" borderId="8" xfId="0" applyNumberFormat="1" applyFont="1" applyFill="1" applyBorder="1" applyAlignment="1">
      <alignment horizontal="right"/>
    </xf>
    <xf numFmtId="186" fontId="1" fillId="16" borderId="8" xfId="1" applyNumberFormat="1" applyFont="1" applyFill="1" applyBorder="1"/>
    <xf numFmtId="186" fontId="1" fillId="16" borderId="13" xfId="1" applyNumberFormat="1" applyFont="1" applyFill="1" applyBorder="1"/>
    <xf numFmtId="198" fontId="48" fillId="16" borderId="7" xfId="1" applyNumberFormat="1" applyFont="1" applyFill="1" applyBorder="1" applyAlignment="1">
      <alignment horizontal="right"/>
    </xf>
    <xf numFmtId="198" fontId="48" fillId="16" borderId="8" xfId="1" applyNumberFormat="1" applyFont="1" applyFill="1" applyBorder="1" applyAlignment="1">
      <alignment horizontal="right"/>
    </xf>
    <xf numFmtId="198" fontId="48" fillId="16" borderId="13" xfId="1" applyNumberFormat="1" applyFont="1" applyFill="1" applyBorder="1" applyAlignment="1">
      <alignment horizontal="right"/>
    </xf>
    <xf numFmtId="172" fontId="65" fillId="0" borderId="0" xfId="0" applyNumberFormat="1" applyFont="1"/>
    <xf numFmtId="166" fontId="65" fillId="0" borderId="0" xfId="0" applyNumberFormat="1" applyFont="1"/>
    <xf numFmtId="181" fontId="65" fillId="0" borderId="0" xfId="0" applyNumberFormat="1" applyFont="1"/>
    <xf numFmtId="168" fontId="65" fillId="0" borderId="0" xfId="0" applyNumberFormat="1" applyFont="1"/>
    <xf numFmtId="0" fontId="65" fillId="0" borderId="0" xfId="0" applyFont="1"/>
    <xf numFmtId="168" fontId="65" fillId="0" borderId="6" xfId="0" applyNumberFormat="1" applyFont="1" applyBorder="1"/>
    <xf numFmtId="188" fontId="64" fillId="0" borderId="5" xfId="0" applyNumberFormat="1" applyFont="1" applyBorder="1" applyAlignment="1">
      <alignment horizontal="right"/>
    </xf>
    <xf numFmtId="182" fontId="48" fillId="0" borderId="0" xfId="0" applyNumberFormat="1" applyFont="1" applyAlignment="1">
      <alignment horizontal="right"/>
    </xf>
    <xf numFmtId="179" fontId="48" fillId="16" borderId="2" xfId="0" applyNumberFormat="1" applyFont="1" applyFill="1" applyBorder="1" applyAlignment="1">
      <alignment horizontal="right"/>
    </xf>
    <xf numFmtId="1" fontId="9" fillId="16" borderId="2" xfId="0" applyNumberFormat="1" applyFont="1" applyFill="1" applyBorder="1" applyAlignment="1">
      <alignment horizontal="center"/>
    </xf>
    <xf numFmtId="183" fontId="65" fillId="0" borderId="0" xfId="1" applyNumberFormat="1" applyFont="1" applyBorder="1"/>
    <xf numFmtId="186" fontId="66" fillId="0" borderId="0" xfId="1" applyNumberFormat="1" applyFont="1"/>
    <xf numFmtId="173" fontId="66" fillId="16" borderId="2" xfId="0" applyNumberFormat="1" applyFont="1" applyFill="1" applyBorder="1" applyAlignment="1">
      <alignment horizontal="right"/>
    </xf>
    <xf numFmtId="3" fontId="65" fillId="0" borderId="15" xfId="1" applyNumberFormat="1" applyFont="1" applyBorder="1" applyAlignment="1">
      <alignment horizontal="center"/>
    </xf>
    <xf numFmtId="3" fontId="48" fillId="0" borderId="15" xfId="1" applyNumberFormat="1" applyFont="1" applyBorder="1" applyAlignment="1">
      <alignment horizontal="center"/>
    </xf>
    <xf numFmtId="166" fontId="9" fillId="0" borderId="0" xfId="1" applyNumberFormat="1" applyFont="1" applyAlignment="1">
      <alignment horizontal="right"/>
    </xf>
    <xf numFmtId="166" fontId="65" fillId="0" borderId="0" xfId="1" applyNumberFormat="1" applyFont="1" applyAlignment="1">
      <alignment horizontal="right"/>
    </xf>
    <xf numFmtId="3" fontId="48" fillId="16" borderId="2" xfId="0" applyNumberFormat="1" applyFont="1" applyFill="1" applyBorder="1" applyAlignment="1">
      <alignment horizontal="center"/>
    </xf>
    <xf numFmtId="182" fontId="48" fillId="0" borderId="17" xfId="1" applyNumberFormat="1" applyFont="1" applyBorder="1" applyAlignment="1">
      <alignment horizontal="right"/>
    </xf>
    <xf numFmtId="182" fontId="48" fillId="0" borderId="22" xfId="1" applyNumberFormat="1" applyFont="1" applyBorder="1" applyAlignment="1">
      <alignment horizontal="right"/>
    </xf>
    <xf numFmtId="166" fontId="65" fillId="0" borderId="0" xfId="1" applyNumberFormat="1" applyFont="1" applyBorder="1" applyAlignment="1">
      <alignment horizontal="right"/>
    </xf>
    <xf numFmtId="166" fontId="65" fillId="0" borderId="23" xfId="1" applyNumberFormat="1" applyFont="1" applyBorder="1" applyAlignment="1">
      <alignment horizontal="right"/>
    </xf>
    <xf numFmtId="166" fontId="65" fillId="0" borderId="15" xfId="1" applyNumberFormat="1" applyFont="1" applyBorder="1" applyAlignment="1">
      <alignment horizontal="center"/>
    </xf>
    <xf numFmtId="186" fontId="4" fillId="0" borderId="0" xfId="1" applyNumberFormat="1" applyFont="1" applyAlignment="1">
      <alignment horizontal="right"/>
    </xf>
    <xf numFmtId="192" fontId="48" fillId="0" borderId="0" xfId="1" applyNumberFormat="1" applyFont="1"/>
    <xf numFmtId="191" fontId="65" fillId="0" borderId="6" xfId="1" applyNumberFormat="1" applyFont="1" applyBorder="1"/>
    <xf numFmtId="203" fontId="48" fillId="0" borderId="15" xfId="1" applyNumberFormat="1" applyFont="1" applyBorder="1" applyAlignment="1">
      <alignment horizontal="center"/>
    </xf>
    <xf numFmtId="186" fontId="1" fillId="0" borderId="0" xfId="0" applyNumberFormat="1" applyFont="1"/>
    <xf numFmtId="203" fontId="48" fillId="0" borderId="0" xfId="1" applyNumberFormat="1" applyFont="1" applyBorder="1" applyAlignment="1">
      <alignment horizontal="center"/>
    </xf>
    <xf numFmtId="210" fontId="4" fillId="0" borderId="0" xfId="1" applyNumberFormat="1" applyFont="1"/>
    <xf numFmtId="210" fontId="48" fillId="0" borderId="28" xfId="1" applyNumberFormat="1" applyFont="1" applyBorder="1" applyAlignment="1">
      <alignment horizontal="center"/>
    </xf>
    <xf numFmtId="166" fontId="1" fillId="0" borderId="0" xfId="1" applyNumberFormat="1" applyFont="1"/>
    <xf numFmtId="193" fontId="1" fillId="0" borderId="0" xfId="0" applyNumberFormat="1" applyFont="1"/>
    <xf numFmtId="197" fontId="65" fillId="0" borderId="6" xfId="1" applyNumberFormat="1" applyFont="1" applyBorder="1"/>
    <xf numFmtId="197" fontId="65" fillId="0" borderId="0" xfId="1" applyNumberFormat="1" applyFont="1" applyBorder="1"/>
    <xf numFmtId="197" fontId="9" fillId="0" borderId="0" xfId="1" applyNumberFormat="1" applyFont="1" applyBorder="1"/>
    <xf numFmtId="211" fontId="4" fillId="0" borderId="0" xfId="1" applyNumberFormat="1" applyFont="1"/>
    <xf numFmtId="211" fontId="9" fillId="0" borderId="0" xfId="0" applyNumberFormat="1" applyFont="1" applyAlignment="1">
      <alignment horizontal="right" vertical="top"/>
    </xf>
    <xf numFmtId="211" fontId="9" fillId="0" borderId="6" xfId="0" applyNumberFormat="1" applyFont="1" applyBorder="1" applyAlignment="1">
      <alignment horizontal="right" vertical="top"/>
    </xf>
    <xf numFmtId="211" fontId="9" fillId="0" borderId="0" xfId="1" applyNumberFormat="1" applyFont="1" applyBorder="1"/>
    <xf numFmtId="211" fontId="5" fillId="0" borderId="0" xfId="0" applyNumberFormat="1" applyFont="1" applyAlignment="1">
      <alignment horizontal="left" vertical="top"/>
    </xf>
    <xf numFmtId="197" fontId="9" fillId="0" borderId="26" xfId="1" applyNumberFormat="1" applyFont="1" applyBorder="1"/>
    <xf numFmtId="197" fontId="65" fillId="0" borderId="26" xfId="1" applyNumberFormat="1" applyFont="1" applyBorder="1"/>
    <xf numFmtId="197" fontId="9" fillId="0" borderId="5" xfId="1" applyNumberFormat="1" applyFont="1" applyBorder="1"/>
    <xf numFmtId="184" fontId="48" fillId="0" borderId="26" xfId="1" applyNumberFormat="1" applyFont="1" applyBorder="1"/>
    <xf numFmtId="212" fontId="65" fillId="0" borderId="0" xfId="0" applyNumberFormat="1" applyFont="1"/>
    <xf numFmtId="212" fontId="65" fillId="0" borderId="6" xfId="0" applyNumberFormat="1" applyFont="1" applyBorder="1"/>
    <xf numFmtId="212" fontId="65" fillId="0" borderId="0" xfId="0" applyNumberFormat="1" applyFont="1" applyAlignment="1">
      <alignment horizontal="right" vertical="top"/>
    </xf>
    <xf numFmtId="212" fontId="65" fillId="0" borderId="6" xfId="0" applyNumberFormat="1" applyFont="1" applyBorder="1" applyAlignment="1">
      <alignment horizontal="right" vertical="top"/>
    </xf>
    <xf numFmtId="3" fontId="65" fillId="0" borderId="0" xfId="0" applyNumberFormat="1" applyFont="1"/>
    <xf numFmtId="197" fontId="9" fillId="0" borderId="17" xfId="1" applyNumberFormat="1" applyFont="1" applyBorder="1"/>
    <xf numFmtId="197" fontId="9" fillId="0" borderId="22" xfId="1" applyNumberFormat="1" applyFont="1" applyBorder="1"/>
    <xf numFmtId="197" fontId="9" fillId="0" borderId="23" xfId="1" applyNumberFormat="1" applyFont="1" applyBorder="1"/>
    <xf numFmtId="182" fontId="4" fillId="0" borderId="26" xfId="1" applyNumberFormat="1" applyFont="1" applyBorder="1"/>
    <xf numFmtId="182" fontId="5" fillId="0" borderId="26" xfId="0" applyNumberFormat="1" applyFont="1" applyBorder="1"/>
    <xf numFmtId="197" fontId="9" fillId="0" borderId="20" xfId="1" applyNumberFormat="1" applyFont="1" applyBorder="1"/>
    <xf numFmtId="212" fontId="65" fillId="0" borderId="26" xfId="0" applyNumberFormat="1" applyFont="1" applyBorder="1" applyAlignment="1">
      <alignment horizontal="right" vertical="top"/>
    </xf>
    <xf numFmtId="211" fontId="9" fillId="0" borderId="26" xfId="0" applyNumberFormat="1" applyFont="1" applyBorder="1" applyAlignment="1">
      <alignment horizontal="right" vertical="top"/>
    </xf>
    <xf numFmtId="211" fontId="4" fillId="0" borderId="26" xfId="1" applyNumberFormat="1" applyFont="1" applyBorder="1"/>
    <xf numFmtId="184" fontId="4" fillId="0" borderId="26" xfId="1" applyNumberFormat="1" applyFont="1" applyBorder="1"/>
    <xf numFmtId="166" fontId="65" fillId="0" borderId="26" xfId="1" applyNumberFormat="1" applyFont="1" applyBorder="1" applyAlignment="1">
      <alignment horizontal="right"/>
    </xf>
    <xf numFmtId="197" fontId="9" fillId="0" borderId="7" xfId="1" applyNumberFormat="1" applyFont="1" applyBorder="1"/>
    <xf numFmtId="197" fontId="9" fillId="0" borderId="8" xfId="1" applyNumberFormat="1" applyFont="1" applyBorder="1"/>
    <xf numFmtId="197" fontId="9" fillId="0" borderId="13" xfId="1" applyNumberFormat="1" applyFont="1" applyBorder="1"/>
    <xf numFmtId="173" fontId="11" fillId="0" borderId="0" xfId="0" applyNumberFormat="1" applyFont="1" applyAlignment="1">
      <alignment horizontal="right"/>
    </xf>
    <xf numFmtId="173" fontId="66" fillId="0" borderId="0" xfId="0" applyNumberFormat="1" applyFont="1" applyAlignment="1">
      <alignment horizontal="right"/>
    </xf>
    <xf numFmtId="173" fontId="51" fillId="0" borderId="0" xfId="0" applyNumberFormat="1" applyFont="1"/>
    <xf numFmtId="0" fontId="4" fillId="0" borderId="0" xfId="0" quotePrefix="1" applyFont="1"/>
    <xf numFmtId="197" fontId="65" fillId="0" borderId="0" xfId="1" applyNumberFormat="1" applyFont="1" applyBorder="1" applyAlignment="1">
      <alignment horizontal="right"/>
    </xf>
    <xf numFmtId="194" fontId="48" fillId="0" borderId="26" xfId="0" applyNumberFormat="1" applyFont="1" applyBorder="1"/>
    <xf numFmtId="197" fontId="9" fillId="0" borderId="0" xfId="1" applyNumberFormat="1" applyFont="1" applyBorder="1" applyAlignment="1">
      <alignment horizontal="right"/>
    </xf>
    <xf numFmtId="197" fontId="9" fillId="0" borderId="26" xfId="1" applyNumberFormat="1" applyFont="1" applyBorder="1" applyAlignment="1">
      <alignment horizontal="right"/>
    </xf>
    <xf numFmtId="197" fontId="9" fillId="0" borderId="18" xfId="1" applyNumberFormat="1" applyFont="1" applyBorder="1"/>
    <xf numFmtId="197" fontId="9" fillId="0" borderId="24" xfId="1" applyNumberFormat="1" applyFont="1" applyBorder="1"/>
    <xf numFmtId="166" fontId="1" fillId="0" borderId="0" xfId="1" applyNumberFormat="1" applyFont="1" applyBorder="1"/>
    <xf numFmtId="166" fontId="9" fillId="0" borderId="0" xfId="1" applyNumberFormat="1" applyFont="1" applyBorder="1" applyAlignment="1">
      <alignment horizontal="right"/>
    </xf>
    <xf numFmtId="197" fontId="9" fillId="0" borderId="21" xfId="1" applyNumberFormat="1" applyFont="1" applyBorder="1"/>
    <xf numFmtId="211" fontId="48" fillId="0" borderId="26" xfId="1" applyNumberFormat="1" applyFont="1" applyFill="1" applyBorder="1"/>
    <xf numFmtId="179" fontId="5" fillId="0" borderId="0" xfId="0" applyNumberFormat="1" applyFont="1"/>
    <xf numFmtId="179" fontId="65" fillId="0" borderId="0" xfId="0" applyNumberFormat="1" applyFont="1"/>
    <xf numFmtId="179" fontId="9" fillId="0" borderId="0" xfId="0" applyNumberFormat="1" applyFont="1" applyAlignment="1">
      <alignment horizontal="right"/>
    </xf>
    <xf numFmtId="3" fontId="22" fillId="0" borderId="0" xfId="0" applyNumberFormat="1" applyFont="1"/>
    <xf numFmtId="3" fontId="1" fillId="0" borderId="0" xfId="0" applyNumberFormat="1" applyFont="1"/>
    <xf numFmtId="0" fontId="1" fillId="0" borderId="0" xfId="0" applyFont="1" applyAlignment="1">
      <alignment horizontal="left" indent="1"/>
    </xf>
    <xf numFmtId="0" fontId="1" fillId="0" borderId="0" xfId="0" applyFont="1" applyAlignment="1">
      <alignment horizontal="left"/>
    </xf>
    <xf numFmtId="0" fontId="1" fillId="0" borderId="26" xfId="0" applyFont="1" applyBorder="1"/>
    <xf numFmtId="0" fontId="1" fillId="0" borderId="26" xfId="0" applyFont="1" applyBorder="1" applyAlignment="1">
      <alignment horizontal="center"/>
    </xf>
    <xf numFmtId="199" fontId="1" fillId="0" borderId="0" xfId="0" applyNumberFormat="1" applyFont="1"/>
    <xf numFmtId="205" fontId="1" fillId="0" borderId="0" xfId="0" applyNumberFormat="1" applyFont="1"/>
    <xf numFmtId="199" fontId="1" fillId="0" borderId="0" xfId="0" applyNumberFormat="1" applyFont="1" applyAlignment="1">
      <alignment horizontal="right"/>
    </xf>
    <xf numFmtId="199" fontId="1" fillId="0" borderId="26" xfId="0" applyNumberFormat="1" applyFont="1" applyBorder="1"/>
    <xf numFmtId="205" fontId="1" fillId="0" borderId="26" xfId="0" applyNumberFormat="1" applyFont="1" applyBorder="1" applyAlignment="1">
      <alignment horizontal="right"/>
    </xf>
    <xf numFmtId="166" fontId="5" fillId="0" borderId="0" xfId="1" applyNumberFormat="1" applyFont="1"/>
    <xf numFmtId="166" fontId="1" fillId="0" borderId="0" xfId="0" applyNumberFormat="1" applyFont="1"/>
    <xf numFmtId="9" fontId="1" fillId="0" borderId="0" xfId="1" applyFont="1"/>
    <xf numFmtId="166" fontId="65" fillId="0" borderId="0" xfId="1" applyNumberFormat="1" applyFont="1"/>
    <xf numFmtId="3" fontId="65" fillId="0" borderId="17" xfId="0" applyNumberFormat="1" applyFont="1" applyBorder="1"/>
    <xf numFmtId="211" fontId="65" fillId="0" borderId="0" xfId="0" applyNumberFormat="1" applyFont="1"/>
    <xf numFmtId="172" fontId="48" fillId="0" borderId="0" xfId="0" applyNumberFormat="1" applyFont="1" applyAlignment="1">
      <alignment horizontal="center"/>
    </xf>
    <xf numFmtId="172" fontId="9" fillId="0" borderId="0" xfId="0" applyNumberFormat="1" applyFont="1" applyAlignment="1">
      <alignment horizontal="center"/>
    </xf>
    <xf numFmtId="166" fontId="48" fillId="0" borderId="0" xfId="0" applyNumberFormat="1" applyFont="1" applyAlignment="1">
      <alignment horizontal="center"/>
    </xf>
    <xf numFmtId="0" fontId="32" fillId="0" borderId="6" xfId="2" applyBorder="1"/>
    <xf numFmtId="0" fontId="32" fillId="11" borderId="6" xfId="2" applyFill="1" applyBorder="1" applyAlignment="1">
      <alignment vertical="center"/>
    </xf>
    <xf numFmtId="180" fontId="5" fillId="0" borderId="6" xfId="0" applyNumberFormat="1" applyFont="1" applyBorder="1" applyAlignment="1">
      <alignment horizontal="center"/>
    </xf>
    <xf numFmtId="180" fontId="5" fillId="0" borderId="0" xfId="0" applyNumberFormat="1" applyFont="1" applyAlignment="1">
      <alignment horizontal="center"/>
    </xf>
    <xf numFmtId="182" fontId="11" fillId="0" borderId="0" xfId="0" applyNumberFormat="1" applyFont="1" applyAlignment="1">
      <alignment horizontal="left"/>
    </xf>
    <xf numFmtId="0" fontId="11" fillId="0" borderId="0" xfId="0" applyFont="1" applyAlignment="1">
      <alignment horizontal="left"/>
    </xf>
    <xf numFmtId="0" fontId="35" fillId="11" borderId="0" xfId="0" applyFont="1" applyFill="1" applyAlignment="1">
      <alignment horizontal="center" vertical="center"/>
    </xf>
    <xf numFmtId="0" fontId="33" fillId="11" borderId="0" xfId="0" applyFont="1" applyFill="1" applyAlignment="1" applyProtection="1">
      <alignment horizontal="center" vertical="center"/>
      <protection locked="0"/>
    </xf>
    <xf numFmtId="0" fontId="4" fillId="0" borderId="0" xfId="0" applyFont="1" applyAlignment="1">
      <alignment horizontal="left" vertical="top" wrapText="1"/>
    </xf>
    <xf numFmtId="0" fontId="5" fillId="0" borderId="0" xfId="0" applyFont="1" applyAlignment="1">
      <alignment horizontal="left" vertical="top" wrapText="1"/>
    </xf>
    <xf numFmtId="0" fontId="17" fillId="0" borderId="0" xfId="0" applyFont="1" applyAlignment="1">
      <alignment horizontal="left" vertical="top" wrapText="1"/>
    </xf>
    <xf numFmtId="0" fontId="4" fillId="0" borderId="0" xfId="0" applyFont="1" applyAlignment="1">
      <alignment horizontal="right" vertical="top" wrapText="1"/>
    </xf>
    <xf numFmtId="0" fontId="17" fillId="0" borderId="0" xfId="0" applyFont="1" applyAlignment="1">
      <alignment horizontal="right" vertical="top" wrapText="1"/>
    </xf>
    <xf numFmtId="0" fontId="5" fillId="3" borderId="0" xfId="0" applyFont="1" applyFill="1" applyAlignment="1">
      <alignment horizontal="left" vertical="top"/>
    </xf>
    <xf numFmtId="0" fontId="8" fillId="0" borderId="0" xfId="0" applyFont="1" applyAlignment="1">
      <alignment horizontal="center" vertical="center"/>
    </xf>
    <xf numFmtId="0" fontId="8" fillId="0" borderId="0" xfId="0" applyFont="1" applyAlignment="1">
      <alignment horizontal="center"/>
    </xf>
    <xf numFmtId="0" fontId="41" fillId="0" borderId="0" xfId="0" applyFont="1" applyAlignment="1">
      <alignment horizontal="left" vertical="center" wrapText="1"/>
    </xf>
    <xf numFmtId="0" fontId="32" fillId="0" borderId="0" xfId="2" applyBorder="1" applyAlignment="1">
      <alignment horizontal="left" vertical="center"/>
    </xf>
    <xf numFmtId="0" fontId="5" fillId="0" borderId="0" xfId="0" applyFont="1" applyAlignment="1">
      <alignment horizontal="center"/>
    </xf>
    <xf numFmtId="203" fontId="59" fillId="0" borderId="17" xfId="0" applyNumberFormat="1" applyFont="1" applyBorder="1" applyAlignment="1">
      <alignment horizontal="center"/>
    </xf>
    <xf numFmtId="0" fontId="18" fillId="0" borderId="26" xfId="0" applyFont="1" applyBorder="1" applyAlignment="1">
      <alignment horizontal="center"/>
    </xf>
    <xf numFmtId="202" fontId="59" fillId="0" borderId="17" xfId="0" applyNumberFormat="1" applyFont="1" applyBorder="1" applyAlignment="1">
      <alignment horizontal="center"/>
    </xf>
    <xf numFmtId="166" fontId="59" fillId="0" borderId="17" xfId="0" applyNumberFormat="1" applyFont="1" applyBorder="1" applyAlignment="1">
      <alignment horizontal="center"/>
    </xf>
    <xf numFmtId="0" fontId="18" fillId="0" borderId="0" xfId="0" applyFont="1" applyAlignment="1">
      <alignment horizontal="left"/>
    </xf>
    <xf numFmtId="0" fontId="19" fillId="0" borderId="0" xfId="0" applyFont="1" applyAlignment="1">
      <alignment horizontal="center"/>
    </xf>
    <xf numFmtId="0" fontId="19" fillId="0" borderId="3" xfId="0" applyFont="1" applyBorder="1" applyAlignment="1">
      <alignment horizontal="left" vertical="top" wrapText="1"/>
    </xf>
    <xf numFmtId="0" fontId="19" fillId="0" borderId="0" xfId="0" applyFont="1" applyAlignment="1">
      <alignment horizontal="left" vertical="top" wrapText="1"/>
    </xf>
    <xf numFmtId="0" fontId="42" fillId="0" borderId="0" xfId="0" applyFont="1" applyAlignment="1">
      <alignment horizontal="center"/>
    </xf>
    <xf numFmtId="0" fontId="67" fillId="0" borderId="0" xfId="2" applyFont="1" applyBorder="1" applyAlignment="1">
      <alignment horizontal="right"/>
    </xf>
  </cellXfs>
  <cellStyles count="10">
    <cellStyle name="Comma 2" xfId="6" xr:uid="{D1101066-83F4-4A1F-BC6E-A73E0A7274C9}"/>
    <cellStyle name="Comma 3" xfId="4" xr:uid="{24F3B300-30A6-43F9-8E2C-C0DC204D2339}"/>
    <cellStyle name="Comma 3 2" xfId="5" xr:uid="{46F43ADC-EBDF-47A5-8E55-AD1D3D63D231}"/>
    <cellStyle name="Hyperlink" xfId="2" builtinId="8"/>
    <cellStyle name="Normal" xfId="0" builtinId="0"/>
    <cellStyle name="Normal 2" xfId="3" xr:uid="{C69F5B61-D156-462B-9021-DFD8220AB14E}"/>
    <cellStyle name="Normal 2 2 2" xfId="9" xr:uid="{818A773F-DC28-404F-9F11-D36E587B48B4}"/>
    <cellStyle name="Normal 3" xfId="8" xr:uid="{8705B378-6EAC-4487-8853-87E19727169F}"/>
    <cellStyle name="Percent" xfId="1" builtinId="5"/>
    <cellStyle name="Percent 2" xfId="7" xr:uid="{1B0E3EDC-9D52-4109-8603-CE35D0BCA48B}"/>
  </cellStyles>
  <dxfs count="1">
    <dxf>
      <fill>
        <patternFill>
          <bgColor rgb="FFFF0000"/>
        </patternFill>
      </fill>
    </dxf>
  </dxfs>
  <tableStyles count="0" defaultTableStyle="TableStyleMedium2" defaultPivotStyle="PivotStyleLight16"/>
  <colors>
    <mruColors>
      <color rgb="FFFB33D0"/>
      <color rgb="FF492395"/>
      <color rgb="FF49278F"/>
      <color rgb="FF0000FF"/>
      <color rgb="FF008000"/>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7"/>
    </mc:Choice>
    <mc:Fallback>
      <c:style val="7"/>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Unique subscriptions and Net Retention Rate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v>Unique subscriptions ('000s)</c:v>
          </c:tx>
          <c:spPr>
            <a:solidFill>
              <a:schemeClr val="accent5">
                <a:shade val="76000"/>
              </a:schemeClr>
            </a:solidFill>
            <a:ln>
              <a:noFill/>
            </a:ln>
            <a:effectLst/>
          </c:spPr>
          <c:invertIfNegative val="0"/>
          <c:cat>
            <c:numRef>
              <c:f>Graphs!$D$133:$H$133</c:f>
              <c:numCache>
                <c:formatCode>General</c:formatCode>
                <c:ptCount val="5"/>
                <c:pt idx="0">
                  <c:v>2019</c:v>
                </c:pt>
                <c:pt idx="1">
                  <c:v>2020</c:v>
                </c:pt>
                <c:pt idx="2">
                  <c:v>2021</c:v>
                </c:pt>
                <c:pt idx="3">
                  <c:v>2022</c:v>
                </c:pt>
                <c:pt idx="4">
                  <c:v>2023</c:v>
                </c:pt>
              </c:numCache>
            </c:numRef>
          </c:cat>
          <c:val>
            <c:numRef>
              <c:f>Graphs!$D$134:$H$134</c:f>
              <c:numCache>
                <c:formatCode>#,##0;\ \(#,##0\);\ "-"</c:formatCode>
                <c:ptCount val="5"/>
                <c:pt idx="0">
                  <c:v>2980</c:v>
                </c:pt>
                <c:pt idx="1">
                  <c:v>3660</c:v>
                </c:pt>
                <c:pt idx="2">
                  <c:v>4086</c:v>
                </c:pt>
                <c:pt idx="3">
                  <c:v>4204</c:v>
                </c:pt>
                <c:pt idx="4" formatCode="#,##0">
                  <c:v>4631</c:v>
                </c:pt>
              </c:numCache>
            </c:numRef>
          </c:val>
          <c:extLst>
            <c:ext xmlns:c16="http://schemas.microsoft.com/office/drawing/2014/chart" uri="{C3380CC4-5D6E-409C-BE32-E72D297353CC}">
              <c16:uniqueId val="{00000000-9158-4153-A524-A55C0BFBE419}"/>
            </c:ext>
          </c:extLst>
        </c:ser>
        <c:dLbls>
          <c:showLegendKey val="0"/>
          <c:showVal val="0"/>
          <c:showCatName val="0"/>
          <c:showSerName val="0"/>
          <c:showPercent val="0"/>
          <c:showBubbleSize val="0"/>
        </c:dLbls>
        <c:gapWidth val="150"/>
        <c:axId val="666069200"/>
        <c:axId val="666077840"/>
      </c:barChart>
      <c:lineChart>
        <c:grouping val="standard"/>
        <c:varyColors val="0"/>
        <c:ser>
          <c:idx val="1"/>
          <c:order val="1"/>
          <c:tx>
            <c:v>Net Retention Rate</c:v>
          </c:tx>
          <c:spPr>
            <a:ln w="28575" cap="rnd">
              <a:solidFill>
                <a:schemeClr val="accent5">
                  <a:tint val="77000"/>
                </a:schemeClr>
              </a:solidFill>
              <a:round/>
            </a:ln>
            <a:effectLst/>
          </c:spPr>
          <c:marker>
            <c:symbol val="none"/>
          </c:marker>
          <c:val>
            <c:numRef>
              <c:f>Graphs!$D$135:$H$135</c:f>
              <c:numCache>
                <c:formatCode>0.0%</c:formatCode>
                <c:ptCount val="5"/>
                <c:pt idx="0">
                  <c:v>1.2542087542087541</c:v>
                </c:pt>
                <c:pt idx="1">
                  <c:v>1.2281879194630871</c:v>
                </c:pt>
                <c:pt idx="2">
                  <c:v>1.1176148796498906</c:v>
                </c:pt>
                <c:pt idx="3">
                  <c:v>1.0288790993636809</c:v>
                </c:pt>
                <c:pt idx="4">
                  <c:v>1.101569933396765</c:v>
                </c:pt>
              </c:numCache>
            </c:numRef>
          </c:val>
          <c:smooth val="0"/>
          <c:extLst>
            <c:ext xmlns:c16="http://schemas.microsoft.com/office/drawing/2014/chart" uri="{C3380CC4-5D6E-409C-BE32-E72D297353CC}">
              <c16:uniqueId val="{00000001-9158-4153-A524-A55C0BFBE419}"/>
            </c:ext>
          </c:extLst>
        </c:ser>
        <c:dLbls>
          <c:showLegendKey val="0"/>
          <c:showVal val="0"/>
          <c:showCatName val="0"/>
          <c:showSerName val="0"/>
          <c:showPercent val="0"/>
          <c:showBubbleSize val="0"/>
        </c:dLbls>
        <c:marker val="1"/>
        <c:smooth val="0"/>
        <c:axId val="666071360"/>
        <c:axId val="666073880"/>
      </c:lineChart>
      <c:catAx>
        <c:axId val="6660692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6077840"/>
        <c:crosses val="autoZero"/>
        <c:auto val="1"/>
        <c:lblAlgn val="ctr"/>
        <c:lblOffset val="100"/>
        <c:noMultiLvlLbl val="0"/>
      </c:catAx>
      <c:valAx>
        <c:axId val="666077840"/>
        <c:scaling>
          <c:orientation val="minMax"/>
        </c:scaling>
        <c:delete val="0"/>
        <c:axPos val="l"/>
        <c:numFmt formatCode="#,##0;\ \(#,##0\);\ &quot;-&quot;"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6069200"/>
        <c:crosses val="autoZero"/>
        <c:crossBetween val="between"/>
        <c:majorUnit val="1000"/>
      </c:valAx>
      <c:valAx>
        <c:axId val="666073880"/>
        <c:scaling>
          <c:orientation val="minMax"/>
          <c:min val="0.60000000000000009"/>
        </c:scaling>
        <c:delete val="0"/>
        <c:axPos val="r"/>
        <c:numFmt formatCode="0.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6071360"/>
        <c:crosses val="max"/>
        <c:crossBetween val="between"/>
      </c:valAx>
      <c:catAx>
        <c:axId val="666071360"/>
        <c:scaling>
          <c:orientation val="minMax"/>
        </c:scaling>
        <c:delete val="1"/>
        <c:axPos val="b"/>
        <c:majorTickMark val="out"/>
        <c:minorTickMark val="none"/>
        <c:tickLblPos val="nextTo"/>
        <c:crossAx val="666073880"/>
        <c:crosses val="autoZero"/>
        <c:auto val="1"/>
        <c:lblAlgn val="ctr"/>
        <c:lblOffset val="100"/>
        <c:noMultiLvlLbl val="0"/>
      </c:cat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7"/>
    </mc:Choice>
    <mc:Fallback>
      <c:style val="7"/>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Average Revenue</a:t>
            </a:r>
            <a:r>
              <a:rPr lang="en-GB" baseline="0"/>
              <a:t> per Unique Subscription ($)</a:t>
            </a:r>
            <a:endParaRPr lang="en-GB"/>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GB"/>
        </a:p>
      </c:txPr>
    </c:title>
    <c:autoTitleDeleted val="0"/>
    <c:plotArea>
      <c:layout>
        <c:manualLayout>
          <c:layoutTarget val="inner"/>
          <c:xMode val="edge"/>
          <c:yMode val="edge"/>
          <c:x val="7.9136482939632546E-2"/>
          <c:y val="0.24578703703703703"/>
          <c:w val="0.89030796150481195"/>
          <c:h val="0.6471839457567804"/>
        </c:manualLayout>
      </c:layout>
      <c:barChart>
        <c:barDir val="col"/>
        <c:grouping val="clustered"/>
        <c:varyColors val="0"/>
        <c:ser>
          <c:idx val="0"/>
          <c:order val="0"/>
          <c:tx>
            <c:strRef>
              <c:f>Graphs!$B$159</c:f>
              <c:strCache>
                <c:ptCount val="1"/>
                <c:pt idx="0">
                  <c:v>ARPU</c:v>
                </c:pt>
              </c:strCache>
            </c:strRef>
          </c:tx>
          <c:spPr>
            <a:solidFill>
              <a:schemeClr val="accent5"/>
            </a:solidFill>
            <a:ln>
              <a:noFill/>
            </a:ln>
            <a:effectLst/>
          </c:spPr>
          <c:invertIfNegative val="0"/>
          <c:cat>
            <c:numRef>
              <c:f>Graphs!$C$158:$G$158</c:f>
              <c:numCache>
                <c:formatCode>General</c:formatCode>
                <c:ptCount val="5"/>
                <c:pt idx="0">
                  <c:v>2020</c:v>
                </c:pt>
                <c:pt idx="1">
                  <c:v>2021</c:v>
                </c:pt>
                <c:pt idx="2">
                  <c:v>2022</c:v>
                </c:pt>
                <c:pt idx="3">
                  <c:v>2023</c:v>
                </c:pt>
                <c:pt idx="4">
                  <c:v>2024</c:v>
                </c:pt>
              </c:numCache>
            </c:numRef>
          </c:cat>
          <c:val>
            <c:numRef>
              <c:f>Graphs!$C$159:$G$159</c:f>
              <c:numCache>
                <c:formatCode>#,##0;\ \(#,##0\);\ "-"</c:formatCode>
                <c:ptCount val="5"/>
                <c:pt idx="0">
                  <c:v>177</c:v>
                </c:pt>
                <c:pt idx="1">
                  <c:v>187</c:v>
                </c:pt>
                <c:pt idx="2">
                  <c:v>191</c:v>
                </c:pt>
                <c:pt idx="3">
                  <c:v>211</c:v>
                </c:pt>
                <c:pt idx="4" formatCode="#,##0">
                  <c:v>227.88000000000002</c:v>
                </c:pt>
              </c:numCache>
            </c:numRef>
          </c:val>
          <c:extLst>
            <c:ext xmlns:c16="http://schemas.microsoft.com/office/drawing/2014/chart" uri="{C3380CC4-5D6E-409C-BE32-E72D297353CC}">
              <c16:uniqueId val="{00000000-CC97-4389-A8B2-FC3FF28793EC}"/>
            </c:ext>
          </c:extLst>
        </c:ser>
        <c:dLbls>
          <c:showLegendKey val="0"/>
          <c:showVal val="0"/>
          <c:showCatName val="0"/>
          <c:showSerName val="0"/>
          <c:showPercent val="0"/>
          <c:showBubbleSize val="0"/>
        </c:dLbls>
        <c:gapWidth val="219"/>
        <c:overlap val="-27"/>
        <c:axId val="666061280"/>
        <c:axId val="666057320"/>
      </c:barChart>
      <c:catAx>
        <c:axId val="66606128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6057320"/>
        <c:crosses val="autoZero"/>
        <c:auto val="1"/>
        <c:lblAlgn val="ctr"/>
        <c:lblOffset val="100"/>
        <c:noMultiLvlLbl val="0"/>
      </c:catAx>
      <c:valAx>
        <c:axId val="666057320"/>
        <c:scaling>
          <c:orientation val="minMax"/>
        </c:scaling>
        <c:delete val="0"/>
        <c:axPos val="l"/>
        <c:numFmt formatCode="#,##0;\ \(#,##0\);\ &quot;-&quot;"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6061280"/>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7"/>
    </mc:Choice>
    <mc:Fallback>
      <c:style val="7"/>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Average Revenue</a:t>
            </a:r>
            <a:r>
              <a:rPr lang="en-GB" baseline="0"/>
              <a:t> per Unique Subscription ($)</a:t>
            </a:r>
            <a:endParaRPr lang="en-GB"/>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GB"/>
        </a:p>
      </c:txPr>
    </c:title>
    <c:autoTitleDeleted val="0"/>
    <c:plotArea>
      <c:layout>
        <c:manualLayout>
          <c:layoutTarget val="inner"/>
          <c:xMode val="edge"/>
          <c:yMode val="edge"/>
          <c:x val="7.9136482939632546E-2"/>
          <c:y val="0.24578703703703703"/>
          <c:w val="0.89030796150481195"/>
          <c:h val="0.6471839457567804"/>
        </c:manualLayout>
      </c:layout>
      <c:barChart>
        <c:barDir val="col"/>
        <c:grouping val="clustered"/>
        <c:varyColors val="0"/>
        <c:ser>
          <c:idx val="0"/>
          <c:order val="0"/>
          <c:tx>
            <c:strRef>
              <c:f>Graphs!$B$176</c:f>
              <c:strCache>
                <c:ptCount val="1"/>
                <c:pt idx="0">
                  <c:v>ARPU </c:v>
                </c:pt>
              </c:strCache>
            </c:strRef>
          </c:tx>
          <c:spPr>
            <a:solidFill>
              <a:schemeClr val="accent5"/>
            </a:solidFill>
            <a:ln>
              <a:noFill/>
            </a:ln>
            <a:effectLst/>
          </c:spPr>
          <c:invertIfNegative val="0"/>
          <c:cat>
            <c:strRef>
              <c:f>Graphs!$D$174:$J$174</c:f>
              <c:strCache>
                <c:ptCount val="7"/>
                <c:pt idx="0">
                  <c:v>2024E</c:v>
                </c:pt>
                <c:pt idx="1">
                  <c:v>2025F</c:v>
                </c:pt>
                <c:pt idx="2">
                  <c:v>2026F</c:v>
                </c:pt>
                <c:pt idx="3">
                  <c:v>2027F</c:v>
                </c:pt>
                <c:pt idx="4">
                  <c:v>2028F</c:v>
                </c:pt>
                <c:pt idx="5">
                  <c:v>2029F</c:v>
                </c:pt>
                <c:pt idx="6">
                  <c:v>2030F</c:v>
                </c:pt>
              </c:strCache>
            </c:strRef>
          </c:cat>
          <c:val>
            <c:numRef>
              <c:f>Graphs!$D$176:$J$176</c:f>
              <c:numCache>
                <c:formatCode>General</c:formatCode>
                <c:ptCount val="7"/>
                <c:pt idx="0">
                  <c:v>227.88000000000002</c:v>
                </c:pt>
                <c:pt idx="1">
                  <c:v>247.24980000000002</c:v>
                </c:pt>
                <c:pt idx="2">
                  <c:v>269.50228200000004</c:v>
                </c:pt>
                <c:pt idx="3">
                  <c:v>295.10499879000002</c:v>
                </c:pt>
                <c:pt idx="4">
                  <c:v>324.61549866900003</c:v>
                </c:pt>
                <c:pt idx="5">
                  <c:v>358.70012602924504</c:v>
                </c:pt>
                <c:pt idx="6">
                  <c:v>398.15713989246206</c:v>
                </c:pt>
              </c:numCache>
            </c:numRef>
          </c:val>
          <c:extLst>
            <c:ext xmlns:c16="http://schemas.microsoft.com/office/drawing/2014/chart" uri="{C3380CC4-5D6E-409C-BE32-E72D297353CC}">
              <c16:uniqueId val="{00000000-A098-46C6-B0E7-05B9577FA3DC}"/>
            </c:ext>
          </c:extLst>
        </c:ser>
        <c:dLbls>
          <c:showLegendKey val="0"/>
          <c:showVal val="0"/>
          <c:showCatName val="0"/>
          <c:showSerName val="0"/>
          <c:showPercent val="0"/>
          <c:showBubbleSize val="0"/>
        </c:dLbls>
        <c:gapWidth val="219"/>
        <c:overlap val="-27"/>
        <c:axId val="666061280"/>
        <c:axId val="666057320"/>
      </c:barChart>
      <c:catAx>
        <c:axId val="66606128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6057320"/>
        <c:crosses val="autoZero"/>
        <c:auto val="1"/>
        <c:lblAlgn val="ctr"/>
        <c:lblOffset val="100"/>
        <c:noMultiLvlLbl val="0"/>
      </c:catAx>
      <c:valAx>
        <c:axId val="666057320"/>
        <c:scaling>
          <c:orientation val="minMax"/>
          <c:max val="400"/>
          <c:min val="100"/>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6061280"/>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7"/>
    </mc:Choice>
    <mc:Fallback>
      <c:style val="7"/>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Unique subscriptions and Net Retention Rate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v>Unique subscriptions ('000s)</c:v>
          </c:tx>
          <c:spPr>
            <a:solidFill>
              <a:schemeClr val="accent5">
                <a:shade val="76000"/>
              </a:schemeClr>
            </a:solidFill>
            <a:ln>
              <a:noFill/>
            </a:ln>
            <a:effectLst/>
          </c:spPr>
          <c:invertIfNegative val="0"/>
          <c:cat>
            <c:strRef>
              <c:f>Graphs!$D$174:$J$174</c:f>
              <c:strCache>
                <c:ptCount val="7"/>
                <c:pt idx="0">
                  <c:v>2024E</c:v>
                </c:pt>
                <c:pt idx="1">
                  <c:v>2025F</c:v>
                </c:pt>
                <c:pt idx="2">
                  <c:v>2026F</c:v>
                </c:pt>
                <c:pt idx="3">
                  <c:v>2027F</c:v>
                </c:pt>
                <c:pt idx="4">
                  <c:v>2028F</c:v>
                </c:pt>
                <c:pt idx="5">
                  <c:v>2029F</c:v>
                </c:pt>
                <c:pt idx="6">
                  <c:v>2030F</c:v>
                </c:pt>
              </c:strCache>
            </c:strRef>
          </c:cat>
          <c:val>
            <c:numRef>
              <c:f>Graphs!$D$178:$J$178</c:f>
              <c:numCache>
                <c:formatCode>General</c:formatCode>
                <c:ptCount val="7"/>
                <c:pt idx="0">
                  <c:v>4584.6899999999996</c:v>
                </c:pt>
                <c:pt idx="1">
                  <c:v>4584.6899999999996</c:v>
                </c:pt>
                <c:pt idx="2">
                  <c:v>4630.5369000000001</c:v>
                </c:pt>
                <c:pt idx="3">
                  <c:v>4723.1476380000004</c:v>
                </c:pt>
                <c:pt idx="4">
                  <c:v>4817.6105907600004</c:v>
                </c:pt>
                <c:pt idx="5">
                  <c:v>4962.1389084828006</c:v>
                </c:pt>
                <c:pt idx="6">
                  <c:v>5160.6244648221127</c:v>
                </c:pt>
              </c:numCache>
            </c:numRef>
          </c:val>
          <c:extLst>
            <c:ext xmlns:c16="http://schemas.microsoft.com/office/drawing/2014/chart" uri="{C3380CC4-5D6E-409C-BE32-E72D297353CC}">
              <c16:uniqueId val="{00000000-FB4F-47E3-8E6D-10323C5F520A}"/>
            </c:ext>
          </c:extLst>
        </c:ser>
        <c:dLbls>
          <c:showLegendKey val="0"/>
          <c:showVal val="0"/>
          <c:showCatName val="0"/>
          <c:showSerName val="0"/>
          <c:showPercent val="0"/>
          <c:showBubbleSize val="0"/>
        </c:dLbls>
        <c:gapWidth val="150"/>
        <c:axId val="666069200"/>
        <c:axId val="666077840"/>
      </c:barChart>
      <c:lineChart>
        <c:grouping val="standard"/>
        <c:varyColors val="0"/>
        <c:ser>
          <c:idx val="1"/>
          <c:order val="1"/>
          <c:tx>
            <c:v>Net Retention Rate</c:v>
          </c:tx>
          <c:spPr>
            <a:ln w="28575" cap="rnd">
              <a:solidFill>
                <a:schemeClr val="accent5">
                  <a:tint val="77000"/>
                </a:schemeClr>
              </a:solidFill>
              <a:round/>
            </a:ln>
            <a:effectLst/>
          </c:spPr>
          <c:marker>
            <c:symbol val="none"/>
          </c:marker>
          <c:cat>
            <c:strRef>
              <c:f>Graphs!$D$174:$J$174</c:f>
              <c:strCache>
                <c:ptCount val="7"/>
                <c:pt idx="0">
                  <c:v>2024E</c:v>
                </c:pt>
                <c:pt idx="1">
                  <c:v>2025F</c:v>
                </c:pt>
                <c:pt idx="2">
                  <c:v>2026F</c:v>
                </c:pt>
                <c:pt idx="3">
                  <c:v>2027F</c:v>
                </c:pt>
                <c:pt idx="4">
                  <c:v>2028F</c:v>
                </c:pt>
                <c:pt idx="5">
                  <c:v>2029F</c:v>
                </c:pt>
                <c:pt idx="6">
                  <c:v>2030F</c:v>
                </c:pt>
              </c:strCache>
            </c:strRef>
          </c:cat>
          <c:val>
            <c:numRef>
              <c:f>Graphs!$D$179:$J$179</c:f>
              <c:numCache>
                <c:formatCode>0%</c:formatCode>
                <c:ptCount val="7"/>
                <c:pt idx="0">
                  <c:v>0.99</c:v>
                </c:pt>
                <c:pt idx="1">
                  <c:v>1</c:v>
                </c:pt>
                <c:pt idx="2">
                  <c:v>1.01</c:v>
                </c:pt>
                <c:pt idx="3">
                  <c:v>1.02</c:v>
                </c:pt>
                <c:pt idx="4">
                  <c:v>1.02</c:v>
                </c:pt>
                <c:pt idx="5">
                  <c:v>1.03</c:v>
                </c:pt>
                <c:pt idx="6">
                  <c:v>1.04</c:v>
                </c:pt>
              </c:numCache>
            </c:numRef>
          </c:val>
          <c:smooth val="0"/>
          <c:extLst>
            <c:ext xmlns:c16="http://schemas.microsoft.com/office/drawing/2014/chart" uri="{C3380CC4-5D6E-409C-BE32-E72D297353CC}">
              <c16:uniqueId val="{00000001-FB4F-47E3-8E6D-10323C5F520A}"/>
            </c:ext>
          </c:extLst>
        </c:ser>
        <c:dLbls>
          <c:showLegendKey val="0"/>
          <c:showVal val="0"/>
          <c:showCatName val="0"/>
          <c:showSerName val="0"/>
          <c:showPercent val="0"/>
          <c:showBubbleSize val="0"/>
        </c:dLbls>
        <c:marker val="1"/>
        <c:smooth val="0"/>
        <c:axId val="666071360"/>
        <c:axId val="666073880"/>
      </c:lineChart>
      <c:catAx>
        <c:axId val="6660692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6077840"/>
        <c:crosses val="autoZero"/>
        <c:auto val="1"/>
        <c:lblAlgn val="ctr"/>
        <c:lblOffset val="100"/>
        <c:noMultiLvlLbl val="0"/>
      </c:catAx>
      <c:valAx>
        <c:axId val="666077840"/>
        <c:scaling>
          <c:orientation val="minMax"/>
          <c:max val="5000"/>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6069200"/>
        <c:crosses val="autoZero"/>
        <c:crossBetween val="between"/>
        <c:majorUnit val="200"/>
      </c:valAx>
      <c:valAx>
        <c:axId val="666073880"/>
        <c:scaling>
          <c:orientation val="minMax"/>
          <c:min val="0.8"/>
        </c:scaling>
        <c:delete val="0"/>
        <c:axPos val="r"/>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6071360"/>
        <c:crosses val="max"/>
        <c:crossBetween val="between"/>
      </c:valAx>
      <c:catAx>
        <c:axId val="666071360"/>
        <c:scaling>
          <c:orientation val="minMax"/>
        </c:scaling>
        <c:delete val="1"/>
        <c:axPos val="b"/>
        <c:numFmt formatCode="General" sourceLinked="1"/>
        <c:majorTickMark val="out"/>
        <c:minorTickMark val="none"/>
        <c:tickLblPos val="nextTo"/>
        <c:crossAx val="666073880"/>
        <c:crosses val="autoZero"/>
        <c:auto val="1"/>
        <c:lblAlgn val="ctr"/>
        <c:lblOffset val="100"/>
        <c:noMultiLvlLbl val="0"/>
      </c:cat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7"/>
    </mc:Choice>
    <mc:Fallback>
      <c:style val="7"/>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Average Revenue</a:t>
            </a:r>
            <a:r>
              <a:rPr lang="en-GB" baseline="0"/>
              <a:t> per Unique Subscription ($)</a:t>
            </a:r>
            <a:endParaRPr lang="en-GB"/>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GB"/>
        </a:p>
      </c:txPr>
    </c:title>
    <c:autoTitleDeleted val="0"/>
    <c:plotArea>
      <c:layout>
        <c:manualLayout>
          <c:layoutTarget val="inner"/>
          <c:xMode val="edge"/>
          <c:yMode val="edge"/>
          <c:x val="7.9136482939632546E-2"/>
          <c:y val="0.24578703703703703"/>
          <c:w val="0.89030796150481195"/>
          <c:h val="0.6471839457567804"/>
        </c:manualLayout>
      </c:layout>
      <c:barChart>
        <c:barDir val="col"/>
        <c:grouping val="clustered"/>
        <c:varyColors val="0"/>
        <c:ser>
          <c:idx val="0"/>
          <c:order val="0"/>
          <c:tx>
            <c:v>Recurring Revenue</c:v>
          </c:tx>
          <c:spPr>
            <a:solidFill>
              <a:schemeClr val="accent5"/>
            </a:solidFill>
            <a:ln>
              <a:noFill/>
            </a:ln>
            <a:effectLst/>
          </c:spPr>
          <c:invertIfNegative val="0"/>
          <c:cat>
            <c:strRef>
              <c:f>Graphs!$D$174:$J$174</c:f>
              <c:strCache>
                <c:ptCount val="7"/>
                <c:pt idx="0">
                  <c:v>2024E</c:v>
                </c:pt>
                <c:pt idx="1">
                  <c:v>2025F</c:v>
                </c:pt>
                <c:pt idx="2">
                  <c:v>2026F</c:v>
                </c:pt>
                <c:pt idx="3">
                  <c:v>2027F</c:v>
                </c:pt>
                <c:pt idx="4">
                  <c:v>2028F</c:v>
                </c:pt>
                <c:pt idx="5">
                  <c:v>2029F</c:v>
                </c:pt>
                <c:pt idx="6">
                  <c:v>2030F</c:v>
                </c:pt>
              </c:strCache>
            </c:strRef>
          </c:cat>
          <c:val>
            <c:numRef>
              <c:f>Graphs!$D$182:$J$182</c:f>
              <c:numCache>
                <c:formatCode>General</c:formatCode>
                <c:ptCount val="7"/>
                <c:pt idx="0">
                  <c:v>1050.0357186000001</c:v>
                </c:pt>
                <c:pt idx="1">
                  <c:v>1133.5636855619998</c:v>
                </c:pt>
                <c:pt idx="2">
                  <c:v>1241.762339348893</c:v>
                </c:pt>
                <c:pt idx="3">
                  <c:v>1380.1595321342661</c:v>
                </c:pt>
                <c:pt idx="4">
                  <c:v>1548.5389950546466</c:v>
                </c:pt>
                <c:pt idx="5">
                  <c:v>1753.9986889564193</c:v>
                </c:pt>
                <c:pt idx="6">
                  <c:v>2015.2252562616277</c:v>
                </c:pt>
              </c:numCache>
            </c:numRef>
          </c:val>
          <c:extLst>
            <c:ext xmlns:c16="http://schemas.microsoft.com/office/drawing/2014/chart" uri="{C3380CC4-5D6E-409C-BE32-E72D297353CC}">
              <c16:uniqueId val="{00000000-7695-426B-A562-0BFDC7509A0C}"/>
            </c:ext>
          </c:extLst>
        </c:ser>
        <c:dLbls>
          <c:showLegendKey val="0"/>
          <c:showVal val="0"/>
          <c:showCatName val="0"/>
          <c:showSerName val="0"/>
          <c:showPercent val="0"/>
          <c:showBubbleSize val="0"/>
        </c:dLbls>
        <c:gapWidth val="219"/>
        <c:overlap val="-27"/>
        <c:axId val="666061280"/>
        <c:axId val="666057320"/>
      </c:barChart>
      <c:catAx>
        <c:axId val="66606128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6057320"/>
        <c:crosses val="autoZero"/>
        <c:auto val="1"/>
        <c:lblAlgn val="ctr"/>
        <c:lblOffset val="100"/>
        <c:noMultiLvlLbl val="0"/>
      </c:catAx>
      <c:valAx>
        <c:axId val="666057320"/>
        <c:scaling>
          <c:orientation val="minMax"/>
          <c:max val="2500"/>
          <c:min val="900"/>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6061280"/>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7"/>
    </mc:Choice>
    <mc:Fallback>
      <c:style val="7"/>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SG&amp;A Margin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Graphs!$B$184</c:f>
              <c:strCache>
                <c:ptCount val="1"/>
                <c:pt idx="0">
                  <c:v>SG&amp;A Margin</c:v>
                </c:pt>
              </c:strCache>
            </c:strRef>
          </c:tx>
          <c:spPr>
            <a:solidFill>
              <a:schemeClr val="accent5"/>
            </a:solidFill>
            <a:ln>
              <a:noFill/>
            </a:ln>
            <a:effectLst/>
          </c:spPr>
          <c:invertIfNegative val="0"/>
          <c:cat>
            <c:strRef>
              <c:f>Graphs!$D$174:$J$174</c:f>
              <c:strCache>
                <c:ptCount val="7"/>
                <c:pt idx="0">
                  <c:v>2024E</c:v>
                </c:pt>
                <c:pt idx="1">
                  <c:v>2025F</c:v>
                </c:pt>
                <c:pt idx="2">
                  <c:v>2026F</c:v>
                </c:pt>
                <c:pt idx="3">
                  <c:v>2027F</c:v>
                </c:pt>
                <c:pt idx="4">
                  <c:v>2028F</c:v>
                </c:pt>
                <c:pt idx="5">
                  <c:v>2029F</c:v>
                </c:pt>
                <c:pt idx="6">
                  <c:v>2030F</c:v>
                </c:pt>
              </c:strCache>
            </c:strRef>
          </c:cat>
          <c:val>
            <c:numRef>
              <c:f>Graphs!$D$184:$J$184</c:f>
              <c:numCache>
                <c:formatCode>0.0%</c:formatCode>
                <c:ptCount val="7"/>
                <c:pt idx="0">
                  <c:v>0.45</c:v>
                </c:pt>
                <c:pt idx="1">
                  <c:v>0.43333333333333335</c:v>
                </c:pt>
                <c:pt idx="2">
                  <c:v>0.41666666666666669</c:v>
                </c:pt>
                <c:pt idx="3">
                  <c:v>0.4</c:v>
                </c:pt>
                <c:pt idx="4">
                  <c:v>0.38333333333333336</c:v>
                </c:pt>
                <c:pt idx="5">
                  <c:v>0.3666666666666667</c:v>
                </c:pt>
                <c:pt idx="6">
                  <c:v>0.35</c:v>
                </c:pt>
              </c:numCache>
            </c:numRef>
          </c:val>
          <c:extLst>
            <c:ext xmlns:c16="http://schemas.microsoft.com/office/drawing/2014/chart" uri="{C3380CC4-5D6E-409C-BE32-E72D297353CC}">
              <c16:uniqueId val="{00000000-47C5-4041-9081-723948F5798F}"/>
            </c:ext>
          </c:extLst>
        </c:ser>
        <c:dLbls>
          <c:showLegendKey val="0"/>
          <c:showVal val="0"/>
          <c:showCatName val="0"/>
          <c:showSerName val="0"/>
          <c:showPercent val="0"/>
          <c:showBubbleSize val="0"/>
        </c:dLbls>
        <c:gapWidth val="219"/>
        <c:overlap val="-27"/>
        <c:axId val="1124294472"/>
        <c:axId val="1124295192"/>
      </c:barChart>
      <c:catAx>
        <c:axId val="11242944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24295192"/>
        <c:crosses val="autoZero"/>
        <c:auto val="1"/>
        <c:lblAlgn val="ctr"/>
        <c:lblOffset val="100"/>
        <c:noMultiLvlLbl val="0"/>
      </c:catAx>
      <c:valAx>
        <c:axId val="1124295192"/>
        <c:scaling>
          <c:orientation val="minMax"/>
          <c:min val="0.30000000000000004"/>
        </c:scaling>
        <c:delete val="0"/>
        <c:axPos val="l"/>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24294472"/>
        <c:crosses val="autoZero"/>
        <c:crossBetween val="between"/>
        <c:majorUnit val="2.0000000000000004E-2"/>
        <c:minorUnit val="5.000000000000001E-3"/>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2"/>
          <c:order val="2"/>
          <c:spPr>
            <a:solidFill>
              <a:schemeClr val="accent3"/>
            </a:solidFill>
            <a:ln>
              <a:noFill/>
            </a:ln>
            <a:effectLst/>
          </c:spPr>
          <c:invertIfNegative val="0"/>
          <c:dPt>
            <c:idx val="0"/>
            <c:invertIfNegative val="0"/>
            <c:bubble3D val="0"/>
            <c:spPr>
              <a:solidFill>
                <a:srgbClr val="492395"/>
              </a:solidFill>
              <a:ln>
                <a:noFill/>
              </a:ln>
              <a:effectLst/>
            </c:spPr>
            <c:extLst>
              <c:ext xmlns:c16="http://schemas.microsoft.com/office/drawing/2014/chart" uri="{C3380CC4-5D6E-409C-BE32-E72D297353CC}">
                <c16:uniqueId val="{00000004-6EA4-4481-A1CC-252CA6C05E72}"/>
              </c:ext>
            </c:extLst>
          </c:dPt>
          <c:dPt>
            <c:idx val="1"/>
            <c:invertIfNegative val="0"/>
            <c:bubble3D val="0"/>
            <c:spPr>
              <a:solidFill>
                <a:srgbClr val="492395"/>
              </a:solidFill>
              <a:ln>
                <a:noFill/>
              </a:ln>
              <a:effectLst/>
            </c:spPr>
            <c:extLst>
              <c:ext xmlns:c16="http://schemas.microsoft.com/office/drawing/2014/chart" uri="{C3380CC4-5D6E-409C-BE32-E72D297353CC}">
                <c16:uniqueId val="{00000003-6EA4-4481-A1CC-252CA6C05E72}"/>
              </c:ext>
            </c:extLst>
          </c:dPt>
          <c:dPt>
            <c:idx val="2"/>
            <c:invertIfNegative val="0"/>
            <c:bubble3D val="0"/>
            <c:spPr>
              <a:solidFill>
                <a:srgbClr val="492395"/>
              </a:solidFill>
              <a:ln>
                <a:noFill/>
              </a:ln>
              <a:effectLst/>
            </c:spPr>
            <c:extLst>
              <c:ext xmlns:c16="http://schemas.microsoft.com/office/drawing/2014/chart" uri="{C3380CC4-5D6E-409C-BE32-E72D297353CC}">
                <c16:uniqueId val="{00000001-6EA4-4481-A1CC-252CA6C05E72}"/>
              </c:ext>
            </c:extLst>
          </c:dPt>
          <c:dPt>
            <c:idx val="3"/>
            <c:invertIfNegative val="0"/>
            <c:bubble3D val="0"/>
            <c:spPr>
              <a:solidFill>
                <a:srgbClr val="492395"/>
              </a:solidFill>
              <a:ln>
                <a:noFill/>
              </a:ln>
              <a:effectLst/>
            </c:spPr>
            <c:extLst>
              <c:ext xmlns:c16="http://schemas.microsoft.com/office/drawing/2014/chart" uri="{C3380CC4-5D6E-409C-BE32-E72D297353CC}">
                <c16:uniqueId val="{00000005-6EA4-4481-A1CC-252CA6C05E72}"/>
              </c:ext>
            </c:extLst>
          </c:dPt>
          <c:dPt>
            <c:idx val="4"/>
            <c:invertIfNegative val="0"/>
            <c:bubble3D val="0"/>
            <c:spPr>
              <a:solidFill>
                <a:srgbClr val="492395"/>
              </a:solidFill>
              <a:ln>
                <a:noFill/>
              </a:ln>
              <a:effectLst/>
            </c:spPr>
            <c:extLst>
              <c:ext xmlns:c16="http://schemas.microsoft.com/office/drawing/2014/chart" uri="{C3380CC4-5D6E-409C-BE32-E72D297353CC}">
                <c16:uniqueId val="{00000002-6EA4-4481-A1CC-252CA6C05E72}"/>
              </c:ext>
            </c:extLst>
          </c:dPt>
          <c:dPt>
            <c:idx val="5"/>
            <c:invertIfNegative val="0"/>
            <c:bubble3D val="0"/>
            <c:spPr>
              <a:solidFill>
                <a:srgbClr val="492395"/>
              </a:solidFill>
              <a:ln>
                <a:noFill/>
              </a:ln>
              <a:effectLst/>
            </c:spPr>
            <c:extLst>
              <c:ext xmlns:c16="http://schemas.microsoft.com/office/drawing/2014/chart" uri="{C3380CC4-5D6E-409C-BE32-E72D297353CC}">
                <c16:uniqueId val="{00000006-6EA4-4481-A1CC-252CA6C05E72}"/>
              </c:ext>
            </c:extLst>
          </c:dPt>
          <c:dPt>
            <c:idx val="6"/>
            <c:invertIfNegative val="0"/>
            <c:bubble3D val="0"/>
            <c:spPr>
              <a:solidFill>
                <a:srgbClr val="492395"/>
              </a:solidFill>
              <a:ln>
                <a:noFill/>
              </a:ln>
              <a:effectLst/>
            </c:spPr>
            <c:extLst>
              <c:ext xmlns:c16="http://schemas.microsoft.com/office/drawing/2014/chart" uri="{C3380CC4-5D6E-409C-BE32-E72D297353CC}">
                <c16:uniqueId val="{00000007-6EA4-4481-A1CC-252CA6C05E72}"/>
              </c:ext>
            </c:extLst>
          </c:dPt>
          <c:cat>
            <c:numRef>
              <c:f>Graphs!$H$62:$N$62</c:f>
              <c:numCache>
                <c:formatCode>0"E"</c:formatCode>
                <c:ptCount val="7"/>
                <c:pt idx="0">
                  <c:v>24</c:v>
                </c:pt>
                <c:pt idx="1">
                  <c:v>25</c:v>
                </c:pt>
                <c:pt idx="2">
                  <c:v>26</c:v>
                </c:pt>
                <c:pt idx="3">
                  <c:v>27</c:v>
                </c:pt>
                <c:pt idx="4">
                  <c:v>28</c:v>
                </c:pt>
                <c:pt idx="5">
                  <c:v>29</c:v>
                </c:pt>
                <c:pt idx="6">
                  <c:v>30</c:v>
                </c:pt>
              </c:numCache>
            </c:numRef>
          </c:cat>
          <c:val>
            <c:numRef>
              <c:f>Graphs!$H$65:$N$65</c:f>
              <c:numCache>
                <c:formatCode>#,##0;\(#,##0\)</c:formatCode>
                <c:ptCount val="7"/>
                <c:pt idx="0">
                  <c:v>2650.0000399999999</c:v>
                </c:pt>
                <c:pt idx="1">
                  <c:v>2744.7739840205686</c:v>
                </c:pt>
                <c:pt idx="2">
                  <c:v>2758.2711605297095</c:v>
                </c:pt>
                <c:pt idx="3">
                  <c:v>2703.8415808996238</c:v>
                </c:pt>
                <c:pt idx="4">
                  <c:v>2542.7261629472478</c:v>
                </c:pt>
                <c:pt idx="5">
                  <c:v>2383.1564561060695</c:v>
                </c:pt>
                <c:pt idx="6">
                  <c:v>2093.6663740836966</c:v>
                </c:pt>
              </c:numCache>
            </c:numRef>
          </c:val>
          <c:extLst>
            <c:ext xmlns:c16="http://schemas.microsoft.com/office/drawing/2014/chart" uri="{C3380CC4-5D6E-409C-BE32-E72D297353CC}">
              <c16:uniqueId val="{00000002-06DD-43FD-B3A5-8763242AE1ED}"/>
            </c:ext>
          </c:extLst>
        </c:ser>
        <c:dLbls>
          <c:showLegendKey val="0"/>
          <c:showVal val="0"/>
          <c:showCatName val="0"/>
          <c:showSerName val="0"/>
          <c:showPercent val="0"/>
          <c:showBubbleSize val="0"/>
        </c:dLbls>
        <c:gapWidth val="101"/>
        <c:overlap val="-27"/>
        <c:axId val="1468375183"/>
        <c:axId val="1468376143"/>
        <c:extLst>
          <c:ext xmlns:c15="http://schemas.microsoft.com/office/drawing/2012/chart" uri="{02D57815-91ED-43cb-92C2-25804820EDAC}">
            <c15:filteredBarSeries>
              <c15:ser>
                <c:idx val="0"/>
                <c:order val="0"/>
                <c:spPr>
                  <a:solidFill>
                    <a:srgbClr val="D1C1F1"/>
                  </a:solidFill>
                  <a:ln>
                    <a:noFill/>
                  </a:ln>
                  <a:effectLst/>
                </c:spPr>
                <c:invertIfNegative val="0"/>
                <c:cat>
                  <c:numRef>
                    <c:extLst>
                      <c:ext uri="{02D57815-91ED-43cb-92C2-25804820EDAC}">
                        <c15:formulaRef>
                          <c15:sqref>Graphs!$H$62:$N$62</c15:sqref>
                        </c15:formulaRef>
                      </c:ext>
                    </c:extLst>
                    <c:numCache>
                      <c:formatCode>0"E"</c:formatCode>
                      <c:ptCount val="7"/>
                      <c:pt idx="0">
                        <c:v>24</c:v>
                      </c:pt>
                      <c:pt idx="1">
                        <c:v>25</c:v>
                      </c:pt>
                      <c:pt idx="2">
                        <c:v>26</c:v>
                      </c:pt>
                      <c:pt idx="3">
                        <c:v>27</c:v>
                      </c:pt>
                      <c:pt idx="4">
                        <c:v>28</c:v>
                      </c:pt>
                      <c:pt idx="5">
                        <c:v>29</c:v>
                      </c:pt>
                      <c:pt idx="6">
                        <c:v>30</c:v>
                      </c:pt>
                    </c:numCache>
                  </c:numRef>
                </c:cat>
                <c:val>
                  <c:numRef>
                    <c:extLst>
                      <c:ext uri="{02D57815-91ED-43cb-92C2-25804820EDAC}">
                        <c15:formulaRef>
                          <c15:sqref>Graphs!$H$63:$N$63</c15:sqref>
                        </c15:formulaRef>
                      </c:ext>
                    </c:extLst>
                    <c:numCache>
                      <c:formatCode>General</c:formatCode>
                      <c:ptCount val="7"/>
                    </c:numCache>
                  </c:numRef>
                </c:val>
                <c:extLst>
                  <c:ext xmlns:c16="http://schemas.microsoft.com/office/drawing/2014/chart" uri="{C3380CC4-5D6E-409C-BE32-E72D297353CC}">
                    <c16:uniqueId val="{00000000-06DD-43FD-B3A5-8763242AE1ED}"/>
                  </c:ext>
                </c:extLst>
              </c15:ser>
            </c15:filteredBarSeries>
            <c15:filteredBarSeries>
              <c15:ser>
                <c:idx val="1"/>
                <c:order val="1"/>
                <c:spPr>
                  <a:solidFill>
                    <a:schemeClr val="accent2"/>
                  </a:solidFill>
                  <a:ln w="28575" cap="rnd">
                    <a:solidFill>
                      <a:srgbClr val="F509D9"/>
                    </a:solidFill>
                    <a:round/>
                  </a:ln>
                  <a:effectLst/>
                </c:spPr>
                <c:invertIfNegative val="0"/>
                <c:cat>
                  <c:numRef>
                    <c:extLst xmlns:c15="http://schemas.microsoft.com/office/drawing/2012/chart">
                      <c:ext xmlns:c15="http://schemas.microsoft.com/office/drawing/2012/chart" uri="{02D57815-91ED-43cb-92C2-25804820EDAC}">
                        <c15:formulaRef>
                          <c15:sqref>Graphs!$H$62:$N$62</c15:sqref>
                        </c15:formulaRef>
                      </c:ext>
                    </c:extLst>
                    <c:numCache>
                      <c:formatCode>0"E"</c:formatCode>
                      <c:ptCount val="7"/>
                      <c:pt idx="0">
                        <c:v>24</c:v>
                      </c:pt>
                      <c:pt idx="1">
                        <c:v>25</c:v>
                      </c:pt>
                      <c:pt idx="2">
                        <c:v>26</c:v>
                      </c:pt>
                      <c:pt idx="3">
                        <c:v>27</c:v>
                      </c:pt>
                      <c:pt idx="4">
                        <c:v>28</c:v>
                      </c:pt>
                      <c:pt idx="5">
                        <c:v>29</c:v>
                      </c:pt>
                      <c:pt idx="6">
                        <c:v>30</c:v>
                      </c:pt>
                    </c:numCache>
                  </c:numRef>
                </c:cat>
                <c:val>
                  <c:numRef>
                    <c:extLst xmlns:c15="http://schemas.microsoft.com/office/drawing/2012/chart">
                      <c:ext xmlns:c15="http://schemas.microsoft.com/office/drawing/2012/chart" uri="{02D57815-91ED-43cb-92C2-25804820EDAC}">
                        <c15:formulaRef>
                          <c15:sqref>Graphs!$H$64:$N$64</c15:sqref>
                        </c15:formulaRef>
                      </c:ext>
                    </c:extLst>
                    <c:numCache>
                      <c:formatCode>General</c:formatCode>
                      <c:ptCount val="7"/>
                    </c:numCache>
                  </c:numRef>
                </c:val>
                <c:extLst xmlns:c15="http://schemas.microsoft.com/office/drawing/2012/chart">
                  <c:ext xmlns:c16="http://schemas.microsoft.com/office/drawing/2014/chart" uri="{C3380CC4-5D6E-409C-BE32-E72D297353CC}">
                    <c16:uniqueId val="{00000001-06DD-43FD-B3A5-8763242AE1ED}"/>
                  </c:ext>
                </c:extLst>
              </c15:ser>
            </c15:filteredBarSeries>
          </c:ext>
        </c:extLst>
      </c:barChart>
      <c:catAx>
        <c:axId val="1468375183"/>
        <c:scaling>
          <c:orientation val="minMax"/>
        </c:scaling>
        <c:delete val="0"/>
        <c:axPos val="b"/>
        <c:numFmt formatCode="0&quot;E&quot;"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n-US"/>
          </a:p>
        </c:txPr>
        <c:crossAx val="1468376143"/>
        <c:crosses val="autoZero"/>
        <c:auto val="1"/>
        <c:lblAlgn val="ctr"/>
        <c:lblOffset val="100"/>
        <c:noMultiLvlLbl val="0"/>
      </c:catAx>
      <c:valAx>
        <c:axId val="1468376143"/>
        <c:scaling>
          <c:orientation val="minMax"/>
        </c:scaling>
        <c:delete val="0"/>
        <c:axPos val="l"/>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68375183"/>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Graphs!$B$29</c:f>
              <c:strCache>
                <c:ptCount val="1"/>
                <c:pt idx="0">
                  <c:v>EBITDA ($'000)</c:v>
                </c:pt>
              </c:strCache>
            </c:strRef>
          </c:tx>
          <c:spPr>
            <a:solidFill>
              <a:srgbClr val="492395"/>
            </a:solidFill>
            <a:ln>
              <a:noFill/>
            </a:ln>
            <a:effectLst/>
          </c:spPr>
          <c:invertIfNegative val="0"/>
          <c:cat>
            <c:numRef>
              <c:f>Graphs!$H$26:$N$26</c:f>
              <c:numCache>
                <c:formatCode>0"E"</c:formatCode>
                <c:ptCount val="7"/>
                <c:pt idx="0">
                  <c:v>24</c:v>
                </c:pt>
                <c:pt idx="1">
                  <c:v>25</c:v>
                </c:pt>
                <c:pt idx="2">
                  <c:v>26</c:v>
                </c:pt>
                <c:pt idx="3">
                  <c:v>27</c:v>
                </c:pt>
                <c:pt idx="4">
                  <c:v>28</c:v>
                </c:pt>
                <c:pt idx="5">
                  <c:v>29</c:v>
                </c:pt>
                <c:pt idx="6">
                  <c:v>30</c:v>
                </c:pt>
              </c:numCache>
            </c:numRef>
          </c:cat>
          <c:val>
            <c:numRef>
              <c:f>Graphs!$H$29:$N$29</c:f>
              <c:numCache>
                <c:formatCode>#,##0;\(#,##0\)</c:formatCode>
                <c:ptCount val="7"/>
                <c:pt idx="0">
                  <c:v>133242.17113718399</c:v>
                </c:pt>
                <c:pt idx="1">
                  <c:v>199605.6130536134</c:v>
                </c:pt>
                <c:pt idx="2">
                  <c:v>253418.55625622204</c:v>
                </c:pt>
                <c:pt idx="3">
                  <c:v>315449.79181889235</c:v>
                </c:pt>
                <c:pt idx="4">
                  <c:v>414114.79347364936</c:v>
                </c:pt>
                <c:pt idx="5">
                  <c:v>523649.14470364433</c:v>
                </c:pt>
                <c:pt idx="6">
                  <c:v>711313.52959640371</c:v>
                </c:pt>
              </c:numCache>
            </c:numRef>
          </c:val>
          <c:extLst>
            <c:ext xmlns:c16="http://schemas.microsoft.com/office/drawing/2014/chart" uri="{C3380CC4-5D6E-409C-BE32-E72D297353CC}">
              <c16:uniqueId val="{00000000-5497-F049-9674-2A4CE7C59CA5}"/>
            </c:ext>
          </c:extLst>
        </c:ser>
        <c:dLbls>
          <c:showLegendKey val="0"/>
          <c:showVal val="0"/>
          <c:showCatName val="0"/>
          <c:showSerName val="0"/>
          <c:showPercent val="0"/>
          <c:showBubbleSize val="0"/>
        </c:dLbls>
        <c:gapWidth val="219"/>
        <c:overlap val="-27"/>
        <c:axId val="783108399"/>
        <c:axId val="783110111"/>
      </c:barChart>
      <c:lineChart>
        <c:grouping val="standard"/>
        <c:varyColors val="0"/>
        <c:ser>
          <c:idx val="1"/>
          <c:order val="1"/>
          <c:tx>
            <c:strRef>
              <c:f>Graphs!$B$30</c:f>
              <c:strCache>
                <c:ptCount val="1"/>
                <c:pt idx="0">
                  <c:v>EBITDA Margins</c:v>
                </c:pt>
              </c:strCache>
            </c:strRef>
          </c:tx>
          <c:spPr>
            <a:ln w="28575" cap="rnd">
              <a:solidFill>
                <a:srgbClr val="FB33D0"/>
              </a:solidFill>
              <a:round/>
            </a:ln>
            <a:effectLst/>
          </c:spPr>
          <c:marker>
            <c:symbol val="none"/>
          </c:marker>
          <c:val>
            <c:numRef>
              <c:f>Graphs!$H$30:$N$30</c:f>
              <c:numCache>
                <c:formatCode>0.0%</c:formatCode>
                <c:ptCount val="7"/>
                <c:pt idx="0">
                  <c:v>0.11313607657198342</c:v>
                </c:pt>
                <c:pt idx="1">
                  <c:v>0.15303531878235038</c:v>
                </c:pt>
                <c:pt idx="2">
                  <c:v>0.17294686661603415</c:v>
                </c:pt>
                <c:pt idx="3">
                  <c:v>0.18930867386180308</c:v>
                </c:pt>
                <c:pt idx="4">
                  <c:v>0.21742971654457616</c:v>
                </c:pt>
                <c:pt idx="5">
                  <c:v>0.23975674828462434</c:v>
                </c:pt>
                <c:pt idx="6">
                  <c:v>0.28211223020546944</c:v>
                </c:pt>
              </c:numCache>
            </c:numRef>
          </c:val>
          <c:smooth val="0"/>
          <c:extLst>
            <c:ext xmlns:c16="http://schemas.microsoft.com/office/drawing/2014/chart" uri="{C3380CC4-5D6E-409C-BE32-E72D297353CC}">
              <c16:uniqueId val="{00000001-5497-F049-9674-2A4CE7C59CA5}"/>
            </c:ext>
          </c:extLst>
        </c:ser>
        <c:dLbls>
          <c:showLegendKey val="0"/>
          <c:showVal val="0"/>
          <c:showCatName val="0"/>
          <c:showSerName val="0"/>
          <c:showPercent val="0"/>
          <c:showBubbleSize val="0"/>
        </c:dLbls>
        <c:marker val="1"/>
        <c:smooth val="0"/>
        <c:axId val="783129167"/>
        <c:axId val="783127439"/>
      </c:lineChart>
      <c:catAx>
        <c:axId val="783108399"/>
        <c:scaling>
          <c:orientation val="minMax"/>
        </c:scaling>
        <c:delete val="0"/>
        <c:axPos val="b"/>
        <c:numFmt formatCode="0&quot;E&quot;"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83110111"/>
        <c:crosses val="autoZero"/>
        <c:auto val="1"/>
        <c:lblAlgn val="ctr"/>
        <c:lblOffset val="100"/>
        <c:noMultiLvlLbl val="0"/>
      </c:catAx>
      <c:valAx>
        <c:axId val="783110111"/>
        <c:scaling>
          <c:orientation val="minMax"/>
        </c:scaling>
        <c:delete val="0"/>
        <c:axPos val="l"/>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83108399"/>
        <c:crosses val="autoZero"/>
        <c:crossBetween val="between"/>
      </c:valAx>
      <c:valAx>
        <c:axId val="783127439"/>
        <c:scaling>
          <c:orientation val="minMax"/>
        </c:scaling>
        <c:delete val="0"/>
        <c:axPos val="r"/>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83129167"/>
        <c:crosses val="max"/>
        <c:crossBetween val="between"/>
      </c:valAx>
      <c:catAx>
        <c:axId val="783129167"/>
        <c:scaling>
          <c:orientation val="minMax"/>
        </c:scaling>
        <c:delete val="1"/>
        <c:axPos val="b"/>
        <c:majorTickMark val="none"/>
        <c:minorTickMark val="none"/>
        <c:tickLblPos val="nextTo"/>
        <c:crossAx val="783127439"/>
        <c:crosses val="autoZero"/>
        <c:auto val="1"/>
        <c:lblAlgn val="ctr"/>
        <c:lblOffset val="100"/>
        <c:noMultiLvlLbl val="0"/>
      </c:cat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Graphs!$Q$51</c:f>
              <c:strCache>
                <c:ptCount val="1"/>
                <c:pt idx="0">
                  <c:v>IRR</c:v>
                </c:pt>
              </c:strCache>
            </c:strRef>
          </c:tx>
          <c:spPr>
            <a:solidFill>
              <a:srgbClr val="492395"/>
            </a:solidFill>
            <a:ln>
              <a:noFill/>
            </a:ln>
            <a:effectLst/>
          </c:spPr>
          <c:invertIfNegative val="0"/>
          <c:cat>
            <c:numRef>
              <c:f>Graphs!$I$26:$M$26</c:f>
              <c:numCache>
                <c:formatCode>0"E"</c:formatCode>
                <c:ptCount val="5"/>
                <c:pt idx="0">
                  <c:v>25</c:v>
                </c:pt>
                <c:pt idx="1">
                  <c:v>26</c:v>
                </c:pt>
                <c:pt idx="2">
                  <c:v>27</c:v>
                </c:pt>
                <c:pt idx="3">
                  <c:v>28</c:v>
                </c:pt>
                <c:pt idx="4">
                  <c:v>29</c:v>
                </c:pt>
              </c:numCache>
            </c:numRef>
          </c:cat>
          <c:val>
            <c:numRef>
              <c:f>Graphs!$Q$53:$Q$57</c:f>
              <c:numCache>
                <c:formatCode>_(#,##0.0%_);\(#,##0.0%\);_("–"_)_%;_(@_)_%</c:formatCode>
                <c:ptCount val="5"/>
                <c:pt idx="0">
                  <c:v>-0.23309159353375442</c:v>
                </c:pt>
                <c:pt idx="1">
                  <c:v>-4.205717146396637E-2</c:v>
                </c:pt>
                <c:pt idx="2">
                  <c:v>7.9712191224098228E-2</c:v>
                </c:pt>
                <c:pt idx="3">
                  <c:v>0.13861173987388611</c:v>
                </c:pt>
                <c:pt idx="4">
                  <c:v>0.19148617386817932</c:v>
                </c:pt>
              </c:numCache>
            </c:numRef>
          </c:val>
          <c:extLst>
            <c:ext xmlns:c16="http://schemas.microsoft.com/office/drawing/2014/chart" uri="{C3380CC4-5D6E-409C-BE32-E72D297353CC}">
              <c16:uniqueId val="{0000001C-D2E6-4745-9F4F-48378FD0188D}"/>
            </c:ext>
          </c:extLst>
        </c:ser>
        <c:dLbls>
          <c:showLegendKey val="0"/>
          <c:showVal val="0"/>
          <c:showCatName val="0"/>
          <c:showSerName val="0"/>
          <c:showPercent val="0"/>
          <c:showBubbleSize val="0"/>
        </c:dLbls>
        <c:gapWidth val="219"/>
        <c:overlap val="-27"/>
        <c:axId val="783108399"/>
        <c:axId val="783110111"/>
      </c:barChart>
      <c:lineChart>
        <c:grouping val="standard"/>
        <c:varyColors val="0"/>
        <c:ser>
          <c:idx val="1"/>
          <c:order val="1"/>
          <c:tx>
            <c:strRef>
              <c:f>Graphs!$R$51</c:f>
              <c:strCache>
                <c:ptCount val="1"/>
                <c:pt idx="0">
                  <c:v>MOIC</c:v>
                </c:pt>
              </c:strCache>
            </c:strRef>
          </c:tx>
          <c:spPr>
            <a:ln w="28575" cap="rnd">
              <a:solidFill>
                <a:srgbClr val="FB33D0"/>
              </a:solidFill>
              <a:round/>
            </a:ln>
            <a:effectLst/>
          </c:spPr>
          <c:marker>
            <c:symbol val="none"/>
          </c:marker>
          <c:val>
            <c:numRef>
              <c:f>Graphs!$R$53:$R$57</c:f>
              <c:numCache>
                <c:formatCode>_(#,##0.0\x_);\(#,##0.0\x\);_("–"_);_(@_)</c:formatCode>
                <c:ptCount val="5"/>
                <c:pt idx="0">
                  <c:v>0.58219195366760046</c:v>
                </c:pt>
                <c:pt idx="1">
                  <c:v>0.87761296700768909</c:v>
                </c:pt>
                <c:pt idx="2">
                  <c:v>1.3633295189112313</c:v>
                </c:pt>
                <c:pt idx="3">
                  <c:v>1.9239557702213128</c:v>
                </c:pt>
                <c:pt idx="4">
                  <c:v>2.8817810810952089</c:v>
                </c:pt>
              </c:numCache>
            </c:numRef>
          </c:val>
          <c:smooth val="0"/>
          <c:extLst>
            <c:ext xmlns:c16="http://schemas.microsoft.com/office/drawing/2014/chart" uri="{C3380CC4-5D6E-409C-BE32-E72D297353CC}">
              <c16:uniqueId val="{0000001E-D2E6-4745-9F4F-48378FD0188D}"/>
            </c:ext>
          </c:extLst>
        </c:ser>
        <c:dLbls>
          <c:showLegendKey val="0"/>
          <c:showVal val="0"/>
          <c:showCatName val="0"/>
          <c:showSerName val="0"/>
          <c:showPercent val="0"/>
          <c:showBubbleSize val="0"/>
        </c:dLbls>
        <c:marker val="1"/>
        <c:smooth val="0"/>
        <c:axId val="783129167"/>
        <c:axId val="783127439"/>
      </c:lineChart>
      <c:catAx>
        <c:axId val="783108399"/>
        <c:scaling>
          <c:orientation val="minMax"/>
        </c:scaling>
        <c:delete val="0"/>
        <c:axPos val="b"/>
        <c:numFmt formatCode="0&quot;E&quot;"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83110111"/>
        <c:crosses val="autoZero"/>
        <c:auto val="1"/>
        <c:lblAlgn val="ctr"/>
        <c:lblOffset val="100"/>
        <c:noMultiLvlLbl val="0"/>
      </c:catAx>
      <c:valAx>
        <c:axId val="783110111"/>
        <c:scaling>
          <c:orientation val="minMax"/>
          <c:max val="0.2"/>
          <c:min val="-0.65"/>
        </c:scaling>
        <c:delete val="0"/>
        <c:axPos val="l"/>
        <c:numFmt formatCode="_(#,##0.0%_);\(#,##0.0%\);_(&quot;–&quot;_)_%;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83108399"/>
        <c:crosses val="autoZero"/>
        <c:crossBetween val="between"/>
      </c:valAx>
      <c:valAx>
        <c:axId val="783127439"/>
        <c:scaling>
          <c:orientation val="minMax"/>
        </c:scaling>
        <c:delete val="0"/>
        <c:axPos val="r"/>
        <c:numFmt formatCode="_(#,##0.0\x_);\(#,##0.0\x\);_(&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83129167"/>
        <c:crosses val="max"/>
        <c:crossBetween val="between"/>
      </c:valAx>
      <c:catAx>
        <c:axId val="783129167"/>
        <c:scaling>
          <c:orientation val="minMax"/>
        </c:scaling>
        <c:delete val="1"/>
        <c:axPos val="b"/>
        <c:majorTickMark val="none"/>
        <c:minorTickMark val="none"/>
        <c:tickLblPos val="nextTo"/>
        <c:crossAx val="783127439"/>
        <c:crosses val="autoZero"/>
        <c:auto val="1"/>
        <c:lblAlgn val="ctr"/>
        <c:lblOffset val="100"/>
        <c:noMultiLvlLbl val="0"/>
      </c:catAx>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withinLinear" id="18">
  <a:schemeClr val="accent5"/>
</cs:colorStyle>
</file>

<file path=xl/charts/colors2.xml><?xml version="1.0" encoding="utf-8"?>
<cs:colorStyle xmlns:cs="http://schemas.microsoft.com/office/drawing/2012/chartStyle" xmlns:a="http://schemas.openxmlformats.org/drawingml/2006/main" meth="withinLinear" id="18">
  <a:schemeClr val="accent5"/>
</cs:colorStyle>
</file>

<file path=xl/charts/colors3.xml><?xml version="1.0" encoding="utf-8"?>
<cs:colorStyle xmlns:cs="http://schemas.microsoft.com/office/drawing/2012/chartStyle" xmlns:a="http://schemas.openxmlformats.org/drawingml/2006/main" meth="withinLinear" id="18">
  <a:schemeClr val="accent5"/>
</cs:colorStyle>
</file>

<file path=xl/charts/colors4.xml><?xml version="1.0" encoding="utf-8"?>
<cs:colorStyle xmlns:cs="http://schemas.microsoft.com/office/drawing/2012/chartStyle" xmlns:a="http://schemas.openxmlformats.org/drawingml/2006/main" meth="withinLinear" id="18">
  <a:schemeClr val="accent5"/>
</cs:colorStyle>
</file>

<file path=xl/charts/colors5.xml><?xml version="1.0" encoding="utf-8"?>
<cs:colorStyle xmlns:cs="http://schemas.microsoft.com/office/drawing/2012/chartStyle" xmlns:a="http://schemas.openxmlformats.org/drawingml/2006/main" meth="withinLinear" id="18">
  <a:schemeClr val="accent5"/>
</cs:colorStyle>
</file>

<file path=xl/charts/colors6.xml><?xml version="1.0" encoding="utf-8"?>
<cs:colorStyle xmlns:cs="http://schemas.microsoft.com/office/drawing/2012/chartStyle" xmlns:a="http://schemas.openxmlformats.org/drawingml/2006/main" meth="withinLinear" id="18">
  <a:schemeClr val="accent5"/>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2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32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Drop" dropStyle="combo" dx="39" fmlaLink="$C$5" fmlaRange="$B$13:$B$15" noThreeD="1" sel="2" val="0"/>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 Id="rId9"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editAs="oneCell">
    <xdr:from>
      <xdr:col>7</xdr:col>
      <xdr:colOff>297245</xdr:colOff>
      <xdr:row>4</xdr:row>
      <xdr:rowOff>209496</xdr:rowOff>
    </xdr:from>
    <xdr:to>
      <xdr:col>10</xdr:col>
      <xdr:colOff>160319</xdr:colOff>
      <xdr:row>9</xdr:row>
      <xdr:rowOff>125194</xdr:rowOff>
    </xdr:to>
    <xdr:pic>
      <xdr:nvPicPr>
        <xdr:cNvPr id="5" name="Picture 4">
          <a:extLst>
            <a:ext uri="{FF2B5EF4-FFF2-40B4-BE49-F238E27FC236}">
              <a16:creationId xmlns:a16="http://schemas.microsoft.com/office/drawing/2014/main" id="{ADA41A5D-05D7-D5C9-7121-1BE9BE9A35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180004" y="1129151"/>
          <a:ext cx="3213246" cy="95578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738297</xdr:colOff>
      <xdr:row>4</xdr:row>
      <xdr:rowOff>119610</xdr:rowOff>
    </xdr:from>
    <xdr:to>
      <xdr:col>6</xdr:col>
      <xdr:colOff>563123</xdr:colOff>
      <xdr:row>12</xdr:row>
      <xdr:rowOff>180560</xdr:rowOff>
    </xdr:to>
    <xdr:pic>
      <xdr:nvPicPr>
        <xdr:cNvPr id="7" name="Picture 6" descr="Squarespace Logo and symbol, meaning ...">
          <a:extLst>
            <a:ext uri="{FF2B5EF4-FFF2-40B4-BE49-F238E27FC236}">
              <a16:creationId xmlns:a16="http://schemas.microsoft.com/office/drawing/2014/main" id="{AF879EB2-740C-E241-7899-26A2120CDA6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832952" y="1039265"/>
          <a:ext cx="2491443" cy="165463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23813</xdr:colOff>
          <xdr:row>4</xdr:row>
          <xdr:rowOff>23813</xdr:rowOff>
        </xdr:from>
        <xdr:to>
          <xdr:col>2</xdr:col>
          <xdr:colOff>1714500</xdr:colOff>
          <xdr:row>5</xdr:row>
          <xdr:rowOff>61913</xdr:rowOff>
        </xdr:to>
        <xdr:sp macro="" textlink="">
          <xdr:nvSpPr>
            <xdr:cNvPr id="9310" name="Drop Down 94" hidden="1">
              <a:extLst>
                <a:ext uri="{63B3BB69-23CF-44E3-9099-C40C66FF867C}">
                  <a14:compatExt spid="_x0000_s9310"/>
                </a:ext>
                <a:ext uri="{FF2B5EF4-FFF2-40B4-BE49-F238E27FC236}">
                  <a16:creationId xmlns:a16="http://schemas.microsoft.com/office/drawing/2014/main" id="{00000000-0008-0000-0200-00005E2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1</xdr:col>
      <xdr:colOff>0</xdr:colOff>
      <xdr:row>271</xdr:row>
      <xdr:rowOff>0</xdr:rowOff>
    </xdr:from>
    <xdr:to>
      <xdr:col>13</xdr:col>
      <xdr:colOff>373538</xdr:colOff>
      <xdr:row>315</xdr:row>
      <xdr:rowOff>96375</xdr:rowOff>
    </xdr:to>
    <xdr:pic>
      <xdr:nvPicPr>
        <xdr:cNvPr id="2" name="Picture 1">
          <a:extLst>
            <a:ext uri="{FF2B5EF4-FFF2-40B4-BE49-F238E27FC236}">
              <a16:creationId xmlns:a16="http://schemas.microsoft.com/office/drawing/2014/main" id="{5854D4C3-6F32-4D3C-33DF-063D938F6FD8}"/>
            </a:ext>
          </a:extLst>
        </xdr:cNvPr>
        <xdr:cNvPicPr>
          <a:picLocks noChangeAspect="1"/>
        </xdr:cNvPicPr>
      </xdr:nvPicPr>
      <xdr:blipFill>
        <a:blip xmlns:r="http://schemas.openxmlformats.org/officeDocument/2006/relationships" r:embed="rId1"/>
        <a:stretch>
          <a:fillRect/>
        </a:stretch>
      </xdr:blipFill>
      <xdr:spPr>
        <a:xfrm>
          <a:off x="352425" y="49044225"/>
          <a:ext cx="14784863" cy="805927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569489</xdr:colOff>
      <xdr:row>136</xdr:row>
      <xdr:rowOff>188483</xdr:rowOff>
    </xdr:from>
    <xdr:to>
      <xdr:col>5</xdr:col>
      <xdr:colOff>209455</xdr:colOff>
      <xdr:row>151</xdr:row>
      <xdr:rowOff>74183</xdr:rowOff>
    </xdr:to>
    <xdr:graphicFrame macro="">
      <xdr:nvGraphicFramePr>
        <xdr:cNvPr id="12" name="Chart 11">
          <a:extLst>
            <a:ext uri="{FF2B5EF4-FFF2-40B4-BE49-F238E27FC236}">
              <a16:creationId xmlns:a16="http://schemas.microsoft.com/office/drawing/2014/main" id="{0EC73034-5D48-47A3-F5E1-DAD421DC124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84605</xdr:colOff>
      <xdr:row>149</xdr:row>
      <xdr:rowOff>120183</xdr:rowOff>
    </xdr:from>
    <xdr:to>
      <xdr:col>14</xdr:col>
      <xdr:colOff>507066</xdr:colOff>
      <xdr:row>164</xdr:row>
      <xdr:rowOff>5883</xdr:rowOff>
    </xdr:to>
    <xdr:graphicFrame macro="">
      <xdr:nvGraphicFramePr>
        <xdr:cNvPr id="88" name="Chart 10">
          <a:extLst>
            <a:ext uri="{FF2B5EF4-FFF2-40B4-BE49-F238E27FC236}">
              <a16:creationId xmlns:a16="http://schemas.microsoft.com/office/drawing/2014/main" id="{27AD5334-91BB-1D10-E458-7D6528B01E9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800658</xdr:colOff>
      <xdr:row>187</xdr:row>
      <xdr:rowOff>26334</xdr:rowOff>
    </xdr:from>
    <xdr:to>
      <xdr:col>5</xdr:col>
      <xdr:colOff>1030939</xdr:colOff>
      <xdr:row>201</xdr:row>
      <xdr:rowOff>102534</xdr:rowOff>
    </xdr:to>
    <xdr:graphicFrame macro="">
      <xdr:nvGraphicFramePr>
        <xdr:cNvPr id="13" name="Chart 10">
          <a:extLst>
            <a:ext uri="{FF2B5EF4-FFF2-40B4-BE49-F238E27FC236}">
              <a16:creationId xmlns:a16="http://schemas.microsoft.com/office/drawing/2014/main" id="{A8A0FAC5-EF03-43F1-989F-44FEBAEA91C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6</xdr:col>
      <xdr:colOff>122704</xdr:colOff>
      <xdr:row>187</xdr:row>
      <xdr:rowOff>66114</xdr:rowOff>
    </xdr:from>
    <xdr:to>
      <xdr:col>10</xdr:col>
      <xdr:colOff>659141</xdr:colOff>
      <xdr:row>201</xdr:row>
      <xdr:rowOff>142314</xdr:rowOff>
    </xdr:to>
    <xdr:graphicFrame macro="">
      <xdr:nvGraphicFramePr>
        <xdr:cNvPr id="14" name="Chart 13">
          <a:extLst>
            <a:ext uri="{FF2B5EF4-FFF2-40B4-BE49-F238E27FC236}">
              <a16:creationId xmlns:a16="http://schemas.microsoft.com/office/drawing/2014/main" id="{26540E6D-B7DB-4F25-9080-EAA0AE36FB2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11</xdr:col>
      <xdr:colOff>493059</xdr:colOff>
      <xdr:row>187</xdr:row>
      <xdr:rowOff>44824</xdr:rowOff>
    </xdr:from>
    <xdr:to>
      <xdr:col>17</xdr:col>
      <xdr:colOff>431987</xdr:colOff>
      <xdr:row>201</xdr:row>
      <xdr:rowOff>121024</xdr:rowOff>
    </xdr:to>
    <xdr:graphicFrame macro="">
      <xdr:nvGraphicFramePr>
        <xdr:cNvPr id="15" name="Chart 10">
          <a:extLst>
            <a:ext uri="{FF2B5EF4-FFF2-40B4-BE49-F238E27FC236}">
              <a16:creationId xmlns:a16="http://schemas.microsoft.com/office/drawing/2014/main" id="{CDAC7F3E-1469-45A4-A42F-32FC1F8C01D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858851</xdr:colOff>
      <xdr:row>204</xdr:row>
      <xdr:rowOff>33139</xdr:rowOff>
    </xdr:from>
    <xdr:to>
      <xdr:col>5</xdr:col>
      <xdr:colOff>566431</xdr:colOff>
      <xdr:row>218</xdr:row>
      <xdr:rowOff>100268</xdr:rowOff>
    </xdr:to>
    <xdr:graphicFrame macro="">
      <xdr:nvGraphicFramePr>
        <xdr:cNvPr id="16" name="Chart 16">
          <a:extLst>
            <a:ext uri="{FF2B5EF4-FFF2-40B4-BE49-F238E27FC236}">
              <a16:creationId xmlns:a16="http://schemas.microsoft.com/office/drawing/2014/main" id="{2891D1B3-DC6C-7D9D-04F7-F976FE967CC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5</xdr:col>
      <xdr:colOff>642431</xdr:colOff>
      <xdr:row>66</xdr:row>
      <xdr:rowOff>142976</xdr:rowOff>
    </xdr:from>
    <xdr:to>
      <xdr:col>9</xdr:col>
      <xdr:colOff>720150</xdr:colOff>
      <xdr:row>81</xdr:row>
      <xdr:rowOff>99607</xdr:rowOff>
    </xdr:to>
    <xdr:graphicFrame macro="">
      <xdr:nvGraphicFramePr>
        <xdr:cNvPr id="18" name="Chart 8">
          <a:extLst>
            <a:ext uri="{FF2B5EF4-FFF2-40B4-BE49-F238E27FC236}">
              <a16:creationId xmlns:a16="http://schemas.microsoft.com/office/drawing/2014/main" id="{A3D68A9A-A14F-07A1-0458-B6B2944004B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5</xdr:col>
      <xdr:colOff>921769</xdr:colOff>
      <xdr:row>42</xdr:row>
      <xdr:rowOff>54092</xdr:rowOff>
    </xdr:from>
    <xdr:to>
      <xdr:col>9</xdr:col>
      <xdr:colOff>727350</xdr:colOff>
      <xdr:row>56</xdr:row>
      <xdr:rowOff>135623</xdr:rowOff>
    </xdr:to>
    <xdr:graphicFrame macro="">
      <xdr:nvGraphicFramePr>
        <xdr:cNvPr id="73" name="Chart 2">
          <a:extLst>
            <a:ext uri="{FF2B5EF4-FFF2-40B4-BE49-F238E27FC236}">
              <a16:creationId xmlns:a16="http://schemas.microsoft.com/office/drawing/2014/main" id="{20773A45-4601-EB32-1FA7-A568040FCD7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9</xdr:col>
      <xdr:colOff>1143000</xdr:colOff>
      <xdr:row>43</xdr:row>
      <xdr:rowOff>127000</xdr:rowOff>
    </xdr:from>
    <xdr:to>
      <xdr:col>13</xdr:col>
      <xdr:colOff>948581</xdr:colOff>
      <xdr:row>58</xdr:row>
      <xdr:rowOff>18031</xdr:rowOff>
    </xdr:to>
    <xdr:graphicFrame macro="">
      <xdr:nvGraphicFramePr>
        <xdr:cNvPr id="20" name="Chart 2">
          <a:extLst>
            <a:ext uri="{FF2B5EF4-FFF2-40B4-BE49-F238E27FC236}">
              <a16:creationId xmlns:a16="http://schemas.microsoft.com/office/drawing/2014/main" id="{6D662526-901B-5442-8097-49BC2A766DE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wsDr>
</file>

<file path=xl/persons/person.xml><?xml version="1.0" encoding="utf-8"?>
<personList xmlns="http://schemas.microsoft.com/office/spreadsheetml/2018/threadedcomments" xmlns:x="http://schemas.openxmlformats.org/spreadsheetml/2006/main">
  <person displayName="Anand8,A (ug)" id="{BBF48412-2BE8-47DB-A8E0-953443462038}" userId="S::A.Anand8@lse.ac.uk::576dba11-06ee-42e5-af5f-fb881114c5df"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W14" dT="2026-02-03T00:51:45.54" personId="{BBF48412-2BE8-47DB-A8E0-953443462038}" id="{9CE04F60-F7E0-4434-A6F6-3CE2591B1A99}">
    <text>Need to double-check as was written as 12% previously?</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https://www.linkedin.com/company/lsesu-private-equity-society/" TargetMode="External"/><Relationship Id="rId1" Type="http://schemas.openxmlformats.org/officeDocument/2006/relationships/hyperlink" Target="https://www.lsepes.com/report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2.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6.xml"/><Relationship Id="rId1" Type="http://schemas.openxmlformats.org/officeDocument/2006/relationships/vmlDrawing" Target="../drawings/vmlDrawing6.v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omments" Target="../comments3.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8" Type="http://schemas.openxmlformats.org/officeDocument/2006/relationships/vmlDrawing" Target="../drawings/vmlDrawing5.vml"/><Relationship Id="rId3" Type="http://schemas.openxmlformats.org/officeDocument/2006/relationships/hyperlink" Target="https://www.sec.gov/Archives/edgar/data/1496963/000114036124038166/ny20030653x10_ex16bvi.htm" TargetMode="External"/><Relationship Id="rId7" Type="http://schemas.openxmlformats.org/officeDocument/2006/relationships/drawing" Target="../drawings/drawing3.xml"/><Relationship Id="rId2" Type="http://schemas.openxmlformats.org/officeDocument/2006/relationships/hyperlink" Target="https://www.sec.gov/Archives/edgar/data/1496963/000114036124042502/ny20030653x21_sc13e3a.htm" TargetMode="External"/><Relationship Id="rId1" Type="http://schemas.openxmlformats.org/officeDocument/2006/relationships/hyperlink" Target="https://www.sec.gov/Archives/edgar/data/1496963/000114036124043334/ny20035858x6_sctota.htm" TargetMode="External"/><Relationship Id="rId6" Type="http://schemas.openxmlformats.org/officeDocument/2006/relationships/hyperlink" Target="https://www.sec.gov/Archives/edgar/data/1496963/000149696321000003/sqsp-20210630.htm" TargetMode="External"/><Relationship Id="rId5" Type="http://schemas.openxmlformats.org/officeDocument/2006/relationships/hyperlink" Target="https://www.sec.gov/Archives/edgar/data/1496963/000149696324000010/sqsp-20231231.htm" TargetMode="External"/><Relationship Id="rId4" Type="http://schemas.openxmlformats.org/officeDocument/2006/relationships/hyperlink" Target="https://www.sec.gov/Archives/edgar/data/1496963/000149696323000010/sqsp-20221231.htm" TargetMode="External"/><Relationship Id="rId9" Type="http://schemas.openxmlformats.org/officeDocument/2006/relationships/comments" Target="../comments5.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4E3199-0C27-4E78-A796-272242012F0C}">
  <dimension ref="A1:N22"/>
  <sheetViews>
    <sheetView showGridLines="0" tabSelected="1" zoomScaleNormal="100" workbookViewId="0"/>
  </sheetViews>
  <sheetFormatPr defaultColWidth="15.33203125" defaultRowHeight="14.25" x14ac:dyDescent="0.45"/>
  <cols>
    <col min="1" max="1" width="4.33203125" style="3" customWidth="1"/>
    <col min="2" max="2" width="15.33203125" style="81"/>
    <col min="3" max="3" width="15.33203125" style="3"/>
    <col min="4" max="4" width="21.33203125" style="3" customWidth="1"/>
    <col min="5" max="5" width="21.33203125" style="3" bestFit="1" customWidth="1"/>
    <col min="6" max="10" width="15.33203125" style="3"/>
    <col min="11" max="11" width="18.796875" style="3" customWidth="1"/>
    <col min="12" max="12" width="15.33203125" style="3"/>
    <col min="13" max="13" width="20.46484375" style="3" customWidth="1"/>
    <col min="14" max="16384" width="15.33203125" style="3"/>
  </cols>
  <sheetData>
    <row r="1" spans="1:14" x14ac:dyDescent="0.45"/>
    <row r="2" spans="1:14" x14ac:dyDescent="0.45">
      <c r="B2" s="251"/>
      <c r="C2" s="252"/>
      <c r="D2" s="252"/>
      <c r="E2" s="252"/>
      <c r="F2" s="252"/>
      <c r="G2" s="252"/>
      <c r="H2" s="252"/>
      <c r="I2" s="252"/>
      <c r="J2" s="252"/>
      <c r="K2" s="252"/>
      <c r="L2" s="252"/>
      <c r="M2" s="252"/>
      <c r="N2" s="254"/>
    </row>
    <row r="3" spans="1:14" x14ac:dyDescent="0.45">
      <c r="B3" s="251"/>
      <c r="C3" s="234"/>
      <c r="D3" s="235"/>
      <c r="E3" s="235"/>
      <c r="F3" s="235"/>
      <c r="G3" s="235"/>
      <c r="H3" s="235"/>
      <c r="I3" s="235"/>
      <c r="J3" s="235"/>
      <c r="K3" s="235"/>
      <c r="L3" s="235"/>
      <c r="M3" s="236"/>
      <c r="N3" s="254"/>
    </row>
    <row r="4" spans="1:14" ht="28.5" x14ac:dyDescent="0.45">
      <c r="B4" s="251"/>
      <c r="C4" s="237"/>
      <c r="D4" s="619" t="s">
        <v>0</v>
      </c>
      <c r="E4" s="619"/>
      <c r="F4" s="619"/>
      <c r="G4" s="619"/>
      <c r="H4" s="619"/>
      <c r="I4" s="619"/>
      <c r="J4" s="619"/>
      <c r="K4" s="619"/>
      <c r="L4" s="619"/>
      <c r="M4" s="238"/>
      <c r="N4" s="254"/>
    </row>
    <row r="5" spans="1:14" ht="23.25" x14ac:dyDescent="0.45">
      <c r="B5" s="251"/>
      <c r="C5" s="237"/>
      <c r="D5" s="241"/>
      <c r="E5" s="241"/>
      <c r="F5" s="241"/>
      <c r="G5" s="240"/>
      <c r="H5" s="240"/>
      <c r="I5" s="240"/>
      <c r="J5" s="240"/>
      <c r="K5" s="240"/>
      <c r="L5" s="240"/>
      <c r="M5" s="238"/>
      <c r="N5" s="254"/>
    </row>
    <row r="6" spans="1:14" x14ac:dyDescent="0.45">
      <c r="B6" s="251"/>
      <c r="C6" s="237"/>
      <c r="E6" s="240"/>
      <c r="F6" s="240"/>
      <c r="G6" s="240"/>
      <c r="H6" s="240"/>
      <c r="I6" s="240"/>
      <c r="J6" s="240"/>
      <c r="K6" s="240"/>
      <c r="L6" s="240"/>
      <c r="M6" s="238"/>
      <c r="N6" s="254"/>
    </row>
    <row r="7" spans="1:14" x14ac:dyDescent="0.45">
      <c r="B7" s="251"/>
      <c r="C7" s="144"/>
      <c r="E7" s="240"/>
      <c r="F7" s="240"/>
      <c r="G7" s="240"/>
      <c r="H7" s="240"/>
      <c r="I7" s="240"/>
      <c r="J7" s="240"/>
      <c r="K7" s="240"/>
      <c r="L7" s="240"/>
      <c r="M7" s="238"/>
      <c r="N7" s="254"/>
    </row>
    <row r="8" spans="1:14" x14ac:dyDescent="0.45">
      <c r="B8" s="251"/>
      <c r="C8" s="237"/>
      <c r="D8" s="240"/>
      <c r="E8" s="240"/>
      <c r="F8" s="240"/>
      <c r="G8" s="240"/>
      <c r="H8" s="240"/>
      <c r="I8" s="240"/>
      <c r="J8" s="240"/>
      <c r="K8" s="240"/>
      <c r="L8" s="240"/>
      <c r="M8" s="238"/>
      <c r="N8" s="254"/>
    </row>
    <row r="9" spans="1:14" x14ac:dyDescent="0.45">
      <c r="B9" s="251"/>
      <c r="C9" s="237"/>
      <c r="E9" s="240"/>
      <c r="F9" s="240"/>
      <c r="G9" s="240"/>
      <c r="H9" s="240"/>
      <c r="I9" s="240"/>
      <c r="J9" s="240"/>
      <c r="K9" s="240"/>
      <c r="L9" s="240"/>
      <c r="M9" s="238"/>
      <c r="N9" s="254"/>
    </row>
    <row r="10" spans="1:14" x14ac:dyDescent="0.45">
      <c r="B10" s="251"/>
      <c r="C10" s="237"/>
      <c r="D10" s="240"/>
      <c r="E10" s="240"/>
      <c r="G10" s="240"/>
      <c r="H10" s="240"/>
      <c r="I10" s="240"/>
      <c r="J10" s="240"/>
      <c r="K10" s="240"/>
      <c r="L10" s="240"/>
      <c r="M10" s="238"/>
      <c r="N10" s="254"/>
    </row>
    <row r="11" spans="1:14" x14ac:dyDescent="0.45">
      <c r="B11" s="251"/>
      <c r="C11" s="237"/>
      <c r="D11" s="240"/>
      <c r="E11" s="240"/>
      <c r="F11" s="240"/>
      <c r="G11" s="240"/>
      <c r="H11" s="240"/>
      <c r="I11" s="240"/>
      <c r="J11" s="240"/>
      <c r="K11" s="240"/>
      <c r="L11" s="240"/>
      <c r="M11" s="238"/>
      <c r="N11" s="254"/>
    </row>
    <row r="12" spans="1:14" x14ac:dyDescent="0.45">
      <c r="B12" s="251"/>
      <c r="C12" s="237"/>
      <c r="D12" s="240"/>
      <c r="E12" s="240"/>
      <c r="F12" s="240"/>
      <c r="G12" s="240"/>
      <c r="H12" s="240"/>
      <c r="I12" s="240"/>
      <c r="J12" s="240"/>
      <c r="K12" s="240"/>
      <c r="L12" s="240"/>
      <c r="M12" s="238"/>
      <c r="N12" s="254"/>
    </row>
    <row r="13" spans="1:14" x14ac:dyDescent="0.45">
      <c r="B13" s="251"/>
      <c r="C13" s="237"/>
      <c r="D13" s="240"/>
      <c r="E13" s="240"/>
      <c r="F13" s="240"/>
      <c r="G13" s="240"/>
      <c r="H13" s="240"/>
      <c r="I13" s="240"/>
      <c r="J13" s="240"/>
      <c r="K13" s="240"/>
      <c r="L13" s="240"/>
      <c r="M13" s="238"/>
      <c r="N13" s="254"/>
    </row>
    <row r="14" spans="1:14" x14ac:dyDescent="0.45">
      <c r="B14" s="251"/>
      <c r="C14" s="237"/>
      <c r="D14" s="240"/>
      <c r="E14" s="240"/>
      <c r="F14" s="240"/>
      <c r="G14" s="240"/>
      <c r="H14" s="240"/>
      <c r="I14" s="240"/>
      <c r="J14" s="240"/>
      <c r="K14" s="240"/>
      <c r="L14" s="240"/>
      <c r="M14" s="238"/>
      <c r="N14" s="254"/>
    </row>
    <row r="15" spans="1:14" ht="15.75" x14ac:dyDescent="0.45">
      <c r="B15" s="251"/>
      <c r="C15" s="237"/>
      <c r="D15" s="618" t="s">
        <v>1</v>
      </c>
      <c r="E15" s="618"/>
      <c r="F15" s="618"/>
      <c r="G15" s="242"/>
      <c r="H15" s="242" t="s">
        <v>2</v>
      </c>
      <c r="I15" s="243"/>
      <c r="J15" s="243"/>
      <c r="K15" s="242" t="s">
        <v>3</v>
      </c>
      <c r="M15" s="178"/>
      <c r="N15" s="254"/>
    </row>
    <row r="16" spans="1:14" x14ac:dyDescent="0.45">
      <c r="B16" s="251"/>
      <c r="C16" s="237"/>
      <c r="D16" s="244" t="s">
        <v>1446</v>
      </c>
      <c r="E16" s="245"/>
      <c r="F16" s="244" t="s">
        <v>4</v>
      </c>
      <c r="H16" s="414">
        <v>1</v>
      </c>
      <c r="I16" s="247" t="s">
        <v>5</v>
      </c>
      <c r="K16" s="248" t="s">
        <v>6</v>
      </c>
      <c r="L16" s="247" t="s">
        <v>7</v>
      </c>
      <c r="M16" s="255"/>
      <c r="N16" s="254"/>
    </row>
    <row r="17" spans="2:14" x14ac:dyDescent="0.45">
      <c r="B17" s="251"/>
      <c r="C17" s="237"/>
      <c r="D17" s="244" t="s">
        <v>8</v>
      </c>
      <c r="E17" s="245"/>
      <c r="F17" s="244" t="s">
        <v>9</v>
      </c>
      <c r="H17" s="248">
        <v>1</v>
      </c>
      <c r="I17" s="247" t="s">
        <v>10</v>
      </c>
      <c r="K17" s="248">
        <v>0</v>
      </c>
      <c r="L17" s="247" t="s">
        <v>11</v>
      </c>
      <c r="M17" s="255"/>
      <c r="N17" s="254"/>
    </row>
    <row r="18" spans="2:14" x14ac:dyDescent="0.45">
      <c r="B18" s="251"/>
      <c r="C18" s="237"/>
      <c r="D18" s="244" t="s">
        <v>12</v>
      </c>
      <c r="F18" s="244" t="s">
        <v>13</v>
      </c>
      <c r="G18" s="246"/>
      <c r="H18" s="413">
        <v>1</v>
      </c>
      <c r="I18" s="247" t="s">
        <v>14</v>
      </c>
      <c r="K18" s="249"/>
      <c r="L18" s="249" t="s">
        <v>1413</v>
      </c>
      <c r="M18" s="178"/>
      <c r="N18" s="254"/>
    </row>
    <row r="19" spans="2:14" x14ac:dyDescent="0.45">
      <c r="B19" s="251"/>
      <c r="C19" s="237"/>
      <c r="D19" s="244" t="s">
        <v>15</v>
      </c>
      <c r="F19" s="244" t="s">
        <v>16</v>
      </c>
      <c r="H19" s="412"/>
      <c r="I19" s="384" t="s">
        <v>1412</v>
      </c>
      <c r="K19" s="246"/>
      <c r="L19" s="250"/>
      <c r="M19" s="238"/>
      <c r="N19" s="254"/>
    </row>
    <row r="20" spans="2:14" x14ac:dyDescent="0.45">
      <c r="B20" s="251"/>
      <c r="C20" s="237"/>
      <c r="D20" s="244" t="s">
        <v>17</v>
      </c>
      <c r="F20" s="244" t="s">
        <v>1448</v>
      </c>
      <c r="G20" s="246"/>
      <c r="H20" s="246"/>
      <c r="I20" s="246"/>
      <c r="J20" s="246"/>
      <c r="K20" s="640" t="s">
        <v>1453</v>
      </c>
      <c r="L20" s="640"/>
      <c r="M20" s="640"/>
      <c r="N20" s="254"/>
    </row>
    <row r="21" spans="2:14" x14ac:dyDescent="0.45">
      <c r="B21" s="251"/>
      <c r="C21" s="336"/>
      <c r="D21" s="612" t="s">
        <v>1447</v>
      </c>
      <c r="E21" s="239"/>
      <c r="F21" s="613" t="s">
        <v>1449</v>
      </c>
      <c r="G21" s="239"/>
      <c r="H21" s="239"/>
      <c r="I21" s="239"/>
      <c r="J21" s="239"/>
      <c r="K21" s="640" t="s">
        <v>1454</v>
      </c>
      <c r="L21" s="640"/>
      <c r="M21" s="640"/>
      <c r="N21" s="254"/>
    </row>
    <row r="22" spans="2:14" x14ac:dyDescent="0.45">
      <c r="B22" s="253"/>
      <c r="C22" s="254"/>
      <c r="D22" s="254"/>
      <c r="E22" s="254"/>
      <c r="F22" s="254"/>
      <c r="G22" s="254"/>
      <c r="H22" s="254"/>
      <c r="I22" s="254"/>
      <c r="J22" s="254"/>
      <c r="K22" s="254"/>
      <c r="L22" s="254"/>
      <c r="M22" s="254"/>
      <c r="N22" s="254"/>
    </row>
  </sheetData>
  <mergeCells count="4">
    <mergeCell ref="D15:F15"/>
    <mergeCell ref="D4:L4"/>
    <mergeCell ref="K20:M20"/>
    <mergeCell ref="K21:M21"/>
  </mergeCells>
  <hyperlinks>
    <hyperlink ref="D16" location="Cover!A1" display="Cover" xr:uid="{BCE05843-2631-4945-B572-A539F227F4DA}"/>
    <hyperlink ref="D17" location="'Transaction Details'!A1" display="Transaction Details" xr:uid="{6705A546-0BF1-4AB3-B91F-741B2D1E932A}"/>
    <hyperlink ref="D18" location="'Key Inputs and Drivers'!A1" display="Key Inputs and Drivers" xr:uid="{7DC8211C-F97A-4CA4-87D2-BCED6BD5826C}"/>
    <hyperlink ref="D19" location="Model!A1" display="Model" xr:uid="{737E70A9-D606-4F59-9983-EAF227E03A57}"/>
    <hyperlink ref="D20" location="Appendix!A1" display="Appendix " xr:uid="{2BD291F8-E382-4372-91BA-49DA5B46AE62}"/>
    <hyperlink ref="F16" location="'Historical IS'!A1" display="Historical IS " xr:uid="{0C39577E-1364-493C-A7B8-1BAB0E31343D}"/>
    <hyperlink ref="F17" location="'Historical BS'!A1" display="Historical BS" xr:uid="{ED4788F4-5A15-42CB-83F1-419B6FD79FD7}"/>
    <hyperlink ref="F19" location="'Historical SOFR Rates'!A1" display="Historical SOFR Rates" xr:uid="{FDC49609-BD18-4140-990D-B4B8FD596978}"/>
    <hyperlink ref="F18" location="'Historical CFS'!A1" display="Historical CFS" xr:uid="{40D45CC6-E236-446E-B61E-1B15556442E3}"/>
    <hyperlink ref="F20" location="'Comps Part 1'!A1" display="Comps Analysis Part 1" xr:uid="{7E4610B4-1273-442E-BE04-5A271B792381}"/>
    <hyperlink ref="D21" location="Graphs!A1" display="Graphs" xr:uid="{FF66CE7A-C2FD-4074-A0FC-343F35D1C4C1}"/>
    <hyperlink ref="F21" location="'Comps Part 2'!A1" display="Comps Analysis Part 2" xr:uid="{BF7A51F7-5D79-4C49-9ECC-0A2DAC46D751}"/>
    <hyperlink ref="K20" r:id="rId1" xr:uid="{789AC2B1-1184-4B05-B36D-08AAA1EAC2DB}"/>
    <hyperlink ref="K21" r:id="rId2" xr:uid="{95514347-9356-489A-BB44-6E53515FE9E2}"/>
  </hyperlinks>
  <pageMargins left="0.7" right="0.7" top="0.75" bottom="0.75" header="0.3" footer="0.3"/>
  <drawing r:id="rId3"/>
  <legacy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49F295-46F0-474A-A254-96402954BD44}">
  <dimension ref="A1:K494"/>
  <sheetViews>
    <sheetView showGridLines="0" workbookViewId="0"/>
  </sheetViews>
  <sheetFormatPr defaultColWidth="8.33203125" defaultRowHeight="14.25" x14ac:dyDescent="0.45"/>
  <cols>
    <col min="1" max="1" width="11" bestFit="1" customWidth="1"/>
    <col min="2" max="2" width="8.1328125" bestFit="1" customWidth="1"/>
    <col min="3" max="3" width="7.33203125" bestFit="1" customWidth="1"/>
    <col min="4" max="4" width="14.33203125" bestFit="1" customWidth="1"/>
    <col min="5" max="8" width="15.33203125" bestFit="1" customWidth="1"/>
    <col min="11" max="11" width="19.33203125" bestFit="1" customWidth="1"/>
  </cols>
  <sheetData>
    <row r="1" spans="1:11" x14ac:dyDescent="0.45">
      <c r="A1" s="186" t="s">
        <v>780</v>
      </c>
      <c r="B1" s="186" t="s">
        <v>781</v>
      </c>
      <c r="C1" s="186" t="s">
        <v>782</v>
      </c>
      <c r="D1" s="186" t="s">
        <v>783</v>
      </c>
      <c r="E1" s="186" t="s">
        <v>784</v>
      </c>
      <c r="F1" s="186" t="s">
        <v>785</v>
      </c>
      <c r="G1" s="186" t="s">
        <v>786</v>
      </c>
      <c r="H1" s="186" t="s">
        <v>787</v>
      </c>
    </row>
    <row r="2" spans="1:11" x14ac:dyDescent="0.45">
      <c r="A2" t="s">
        <v>788</v>
      </c>
      <c r="B2" t="s">
        <v>789</v>
      </c>
      <c r="C2">
        <v>3.66</v>
      </c>
      <c r="D2">
        <v>3.61</v>
      </c>
      <c r="E2">
        <v>3.63</v>
      </c>
      <c r="F2">
        <v>3.72</v>
      </c>
      <c r="G2">
        <v>3.75</v>
      </c>
      <c r="H2">
        <v>3238</v>
      </c>
    </row>
    <row r="3" spans="1:11" x14ac:dyDescent="0.45">
      <c r="A3" t="s">
        <v>790</v>
      </c>
      <c r="B3" t="s">
        <v>789</v>
      </c>
      <c r="C3">
        <v>3.66</v>
      </c>
      <c r="D3">
        <v>3.6</v>
      </c>
      <c r="E3">
        <v>3.63</v>
      </c>
      <c r="F3">
        <v>3.72</v>
      </c>
      <c r="G3">
        <v>3.74</v>
      </c>
      <c r="H3">
        <v>3273</v>
      </c>
      <c r="J3" s="187" t="s">
        <v>515</v>
      </c>
    </row>
    <row r="4" spans="1:11" x14ac:dyDescent="0.45">
      <c r="A4" t="s">
        <v>791</v>
      </c>
      <c r="B4" t="s">
        <v>789</v>
      </c>
      <c r="C4">
        <v>3.69</v>
      </c>
      <c r="D4">
        <v>3.63</v>
      </c>
      <c r="E4">
        <v>3.66</v>
      </c>
      <c r="F4">
        <v>3.75</v>
      </c>
      <c r="G4">
        <v>3.78</v>
      </c>
      <c r="H4">
        <v>3289</v>
      </c>
      <c r="J4" s="188">
        <f>MEDIAN(C244:C493)</f>
        <v>5.31</v>
      </c>
    </row>
    <row r="5" spans="1:11" x14ac:dyDescent="0.45">
      <c r="A5" t="s">
        <v>792</v>
      </c>
      <c r="B5" t="s">
        <v>789</v>
      </c>
      <c r="C5">
        <v>3.69</v>
      </c>
      <c r="D5">
        <v>3.63</v>
      </c>
      <c r="E5">
        <v>3.64</v>
      </c>
      <c r="F5">
        <v>3.74</v>
      </c>
      <c r="G5">
        <v>3.77</v>
      </c>
      <c r="H5">
        <v>3319</v>
      </c>
    </row>
    <row r="6" spans="1:11" x14ac:dyDescent="0.45">
      <c r="A6" t="s">
        <v>793</v>
      </c>
      <c r="B6" t="s">
        <v>789</v>
      </c>
      <c r="C6">
        <v>3.75</v>
      </c>
      <c r="D6">
        <v>3.67</v>
      </c>
      <c r="E6">
        <v>3.73</v>
      </c>
      <c r="F6">
        <v>3.83</v>
      </c>
      <c r="G6">
        <v>3.85</v>
      </c>
      <c r="H6">
        <v>3270</v>
      </c>
      <c r="J6" s="187">
        <v>2030</v>
      </c>
      <c r="K6" s="187" t="s">
        <v>794</v>
      </c>
    </row>
    <row r="7" spans="1:11" x14ac:dyDescent="0.45">
      <c r="A7" t="s">
        <v>795</v>
      </c>
      <c r="B7" t="s">
        <v>789</v>
      </c>
      <c r="C7">
        <v>3.67</v>
      </c>
      <c r="D7">
        <v>3.63</v>
      </c>
      <c r="E7">
        <v>3.65</v>
      </c>
      <c r="F7">
        <v>3.74</v>
      </c>
      <c r="G7">
        <v>3.76</v>
      </c>
      <c r="H7">
        <v>3261</v>
      </c>
      <c r="J7" s="188" t="s">
        <v>796</v>
      </c>
      <c r="K7" s="188">
        <v>3.63</v>
      </c>
    </row>
    <row r="8" spans="1:11" x14ac:dyDescent="0.45">
      <c r="A8" t="s">
        <v>797</v>
      </c>
      <c r="B8" t="s">
        <v>789</v>
      </c>
      <c r="C8">
        <v>3.66</v>
      </c>
      <c r="D8">
        <v>3.61</v>
      </c>
      <c r="E8">
        <v>3.62</v>
      </c>
      <c r="F8">
        <v>3.72</v>
      </c>
      <c r="G8">
        <v>3.9</v>
      </c>
      <c r="H8">
        <v>3299</v>
      </c>
      <c r="J8" s="188" t="s">
        <v>798</v>
      </c>
      <c r="K8" s="188">
        <v>3.67</v>
      </c>
    </row>
    <row r="9" spans="1:11" x14ac:dyDescent="0.45">
      <c r="A9" t="s">
        <v>799</v>
      </c>
      <c r="B9" t="s">
        <v>789</v>
      </c>
      <c r="C9">
        <v>3.9</v>
      </c>
      <c r="D9">
        <v>3.86</v>
      </c>
      <c r="E9">
        <v>3.87</v>
      </c>
      <c r="F9">
        <v>3.96</v>
      </c>
      <c r="G9">
        <v>3.98</v>
      </c>
      <c r="H9">
        <v>3222</v>
      </c>
      <c r="J9" s="188" t="s">
        <v>800</v>
      </c>
      <c r="K9" s="188">
        <v>3.71</v>
      </c>
    </row>
    <row r="10" spans="1:11" x14ac:dyDescent="0.45">
      <c r="A10" t="s">
        <v>801</v>
      </c>
      <c r="B10" t="s">
        <v>789</v>
      </c>
      <c r="C10">
        <v>3.93</v>
      </c>
      <c r="D10">
        <v>3.88</v>
      </c>
      <c r="E10">
        <v>3.9</v>
      </c>
      <c r="F10">
        <v>3.99</v>
      </c>
      <c r="G10">
        <v>4.0199999999999996</v>
      </c>
      <c r="H10">
        <v>3244</v>
      </c>
      <c r="J10" s="188" t="s">
        <v>802</v>
      </c>
      <c r="K10" s="188">
        <v>3.75</v>
      </c>
    </row>
    <row r="11" spans="1:11" x14ac:dyDescent="0.45">
      <c r="A11" t="s">
        <v>803</v>
      </c>
      <c r="B11" t="s">
        <v>789</v>
      </c>
      <c r="C11">
        <v>3.95</v>
      </c>
      <c r="D11">
        <v>3.9</v>
      </c>
      <c r="E11">
        <v>3.93</v>
      </c>
      <c r="F11">
        <v>4.0199999999999996</v>
      </c>
      <c r="G11">
        <v>4.05</v>
      </c>
      <c r="H11">
        <v>3209</v>
      </c>
      <c r="J11" s="188"/>
      <c r="K11" s="188">
        <f>MEDIAN(K7:K10)</f>
        <v>3.69</v>
      </c>
    </row>
    <row r="12" spans="1:11" x14ac:dyDescent="0.45">
      <c r="A12" t="s">
        <v>804</v>
      </c>
      <c r="B12" t="s">
        <v>789</v>
      </c>
      <c r="C12">
        <v>3.93</v>
      </c>
      <c r="D12">
        <v>3.88</v>
      </c>
      <c r="E12">
        <v>3.9</v>
      </c>
      <c r="F12">
        <v>3.99</v>
      </c>
      <c r="G12">
        <v>4.0199999999999996</v>
      </c>
      <c r="H12">
        <v>3221</v>
      </c>
    </row>
    <row r="13" spans="1:11" x14ac:dyDescent="0.45">
      <c r="A13" t="s">
        <v>805</v>
      </c>
      <c r="B13" t="s">
        <v>789</v>
      </c>
      <c r="C13">
        <v>3.92</v>
      </c>
      <c r="D13">
        <v>3.86</v>
      </c>
      <c r="E13">
        <v>3.87</v>
      </c>
      <c r="F13">
        <v>3.97</v>
      </c>
      <c r="G13">
        <v>4.01</v>
      </c>
      <c r="H13">
        <v>3300</v>
      </c>
    </row>
    <row r="14" spans="1:11" x14ac:dyDescent="0.45">
      <c r="A14" t="s">
        <v>806</v>
      </c>
      <c r="B14" t="s">
        <v>789</v>
      </c>
      <c r="C14">
        <v>3.95</v>
      </c>
      <c r="D14">
        <v>3.87</v>
      </c>
      <c r="E14">
        <v>3.9</v>
      </c>
      <c r="F14">
        <v>4</v>
      </c>
      <c r="G14">
        <v>4.0199999999999996</v>
      </c>
      <c r="H14">
        <v>3360</v>
      </c>
    </row>
    <row r="15" spans="1:11" x14ac:dyDescent="0.45">
      <c r="A15" t="s">
        <v>807</v>
      </c>
      <c r="B15" t="s">
        <v>789</v>
      </c>
      <c r="C15">
        <v>4.01</v>
      </c>
      <c r="D15">
        <v>3.94</v>
      </c>
      <c r="E15">
        <v>3.96</v>
      </c>
      <c r="F15">
        <v>4.0599999999999996</v>
      </c>
      <c r="G15">
        <v>4.12</v>
      </c>
      <c r="H15">
        <v>3407</v>
      </c>
    </row>
    <row r="16" spans="1:11" x14ac:dyDescent="0.45">
      <c r="A16" t="s">
        <v>808</v>
      </c>
      <c r="B16" t="s">
        <v>789</v>
      </c>
      <c r="C16">
        <v>4.12</v>
      </c>
      <c r="D16">
        <v>4</v>
      </c>
      <c r="E16">
        <v>4.07</v>
      </c>
      <c r="F16">
        <v>4.18</v>
      </c>
      <c r="G16">
        <v>4.21</v>
      </c>
      <c r="H16">
        <v>3454</v>
      </c>
    </row>
    <row r="17" spans="1:8" x14ac:dyDescent="0.45">
      <c r="A17" t="s">
        <v>809</v>
      </c>
      <c r="B17" t="s">
        <v>789</v>
      </c>
      <c r="C17">
        <v>4.12</v>
      </c>
      <c r="D17">
        <v>3.93</v>
      </c>
      <c r="E17">
        <v>4.08</v>
      </c>
      <c r="F17">
        <v>4.1900000000000004</v>
      </c>
      <c r="G17">
        <v>4.2300000000000004</v>
      </c>
      <c r="H17">
        <v>3361</v>
      </c>
    </row>
    <row r="18" spans="1:8" x14ac:dyDescent="0.45">
      <c r="A18" t="s">
        <v>810</v>
      </c>
      <c r="B18" t="s">
        <v>789</v>
      </c>
      <c r="C18">
        <v>4.05</v>
      </c>
      <c r="D18">
        <v>3.96</v>
      </c>
      <c r="E18">
        <v>4.0199999999999996</v>
      </c>
      <c r="F18">
        <v>4.12</v>
      </c>
      <c r="G18">
        <v>4.1500000000000004</v>
      </c>
      <c r="H18">
        <v>3297</v>
      </c>
    </row>
    <row r="19" spans="1:8" x14ac:dyDescent="0.45">
      <c r="A19" t="s">
        <v>811</v>
      </c>
      <c r="B19" t="s">
        <v>789</v>
      </c>
      <c r="C19">
        <v>4.01</v>
      </c>
      <c r="D19">
        <v>3.93</v>
      </c>
      <c r="E19">
        <v>3.97</v>
      </c>
      <c r="F19">
        <v>4.07</v>
      </c>
      <c r="G19">
        <v>4.09</v>
      </c>
      <c r="H19">
        <v>3317</v>
      </c>
    </row>
    <row r="20" spans="1:8" x14ac:dyDescent="0.45">
      <c r="A20" t="s">
        <v>812</v>
      </c>
      <c r="B20" t="s">
        <v>789</v>
      </c>
      <c r="C20">
        <v>3.96</v>
      </c>
      <c r="D20">
        <v>3.91</v>
      </c>
      <c r="E20">
        <v>3.93</v>
      </c>
      <c r="F20">
        <v>4.03</v>
      </c>
      <c r="G20">
        <v>4.05</v>
      </c>
      <c r="H20">
        <v>3232</v>
      </c>
    </row>
    <row r="21" spans="1:8" x14ac:dyDescent="0.45">
      <c r="A21" t="s">
        <v>813</v>
      </c>
      <c r="B21" t="s">
        <v>789</v>
      </c>
      <c r="C21">
        <v>3.93</v>
      </c>
      <c r="D21">
        <v>3.88</v>
      </c>
      <c r="E21">
        <v>3.9</v>
      </c>
      <c r="F21">
        <v>4</v>
      </c>
      <c r="G21">
        <v>4.01</v>
      </c>
      <c r="H21">
        <v>3203</v>
      </c>
    </row>
    <row r="22" spans="1:8" x14ac:dyDescent="0.45">
      <c r="A22" t="s">
        <v>814</v>
      </c>
      <c r="B22" t="s">
        <v>789</v>
      </c>
      <c r="C22">
        <v>3.91</v>
      </c>
      <c r="D22">
        <v>3.85</v>
      </c>
      <c r="E22">
        <v>3.86</v>
      </c>
      <c r="F22">
        <v>3.96</v>
      </c>
      <c r="G22">
        <v>4</v>
      </c>
      <c r="H22">
        <v>3170</v>
      </c>
    </row>
    <row r="23" spans="1:8" x14ac:dyDescent="0.45">
      <c r="A23" t="s">
        <v>815</v>
      </c>
      <c r="B23" t="s">
        <v>789</v>
      </c>
      <c r="C23">
        <v>3.91</v>
      </c>
      <c r="D23">
        <v>3.85</v>
      </c>
      <c r="E23">
        <v>3.87</v>
      </c>
      <c r="F23">
        <v>3.96</v>
      </c>
      <c r="G23">
        <v>3.98</v>
      </c>
      <c r="H23">
        <v>3179</v>
      </c>
    </row>
    <row r="24" spans="1:8" x14ac:dyDescent="0.45">
      <c r="A24" t="s">
        <v>816</v>
      </c>
      <c r="B24" t="s">
        <v>789</v>
      </c>
      <c r="C24">
        <v>3.94</v>
      </c>
      <c r="D24">
        <v>3.87</v>
      </c>
      <c r="E24">
        <v>3.9</v>
      </c>
      <c r="F24">
        <v>4</v>
      </c>
      <c r="G24">
        <v>4.03</v>
      </c>
      <c r="H24">
        <v>3220</v>
      </c>
    </row>
    <row r="25" spans="1:8" x14ac:dyDescent="0.45">
      <c r="A25" t="s">
        <v>817</v>
      </c>
      <c r="B25" t="s">
        <v>789</v>
      </c>
      <c r="C25">
        <v>4</v>
      </c>
      <c r="D25">
        <v>3.93</v>
      </c>
      <c r="E25">
        <v>3.96</v>
      </c>
      <c r="F25">
        <v>4.0599999999999996</v>
      </c>
      <c r="G25">
        <v>4.08</v>
      </c>
      <c r="H25">
        <v>3278</v>
      </c>
    </row>
    <row r="26" spans="1:8" x14ac:dyDescent="0.45">
      <c r="A26" t="s">
        <v>818</v>
      </c>
      <c r="B26" t="s">
        <v>789</v>
      </c>
      <c r="C26">
        <v>3.95</v>
      </c>
      <c r="D26">
        <v>3.85</v>
      </c>
      <c r="E26">
        <v>3.92</v>
      </c>
      <c r="F26">
        <v>4.0199999999999996</v>
      </c>
      <c r="G26">
        <v>4.05</v>
      </c>
      <c r="H26">
        <v>3195</v>
      </c>
    </row>
    <row r="27" spans="1:8" x14ac:dyDescent="0.45">
      <c r="A27" t="s">
        <v>819</v>
      </c>
      <c r="B27" t="s">
        <v>789</v>
      </c>
      <c r="C27">
        <v>4</v>
      </c>
      <c r="D27">
        <v>3.9</v>
      </c>
      <c r="E27">
        <v>3.97</v>
      </c>
      <c r="F27">
        <v>4.08</v>
      </c>
      <c r="G27">
        <v>4.0999999999999996</v>
      </c>
      <c r="H27">
        <v>3197</v>
      </c>
    </row>
    <row r="28" spans="1:8" x14ac:dyDescent="0.45">
      <c r="A28" t="s">
        <v>820</v>
      </c>
      <c r="B28" t="s">
        <v>789</v>
      </c>
      <c r="C28">
        <v>3.98</v>
      </c>
      <c r="D28">
        <v>3.9</v>
      </c>
      <c r="E28">
        <v>3.95</v>
      </c>
      <c r="F28">
        <v>4.05</v>
      </c>
      <c r="G28">
        <v>4.07</v>
      </c>
      <c r="H28">
        <v>3209</v>
      </c>
    </row>
    <row r="29" spans="1:8" x14ac:dyDescent="0.45">
      <c r="A29" t="s">
        <v>821</v>
      </c>
      <c r="B29" t="s">
        <v>789</v>
      </c>
      <c r="C29">
        <v>3.95</v>
      </c>
      <c r="D29">
        <v>3.88</v>
      </c>
      <c r="E29">
        <v>3.93</v>
      </c>
      <c r="F29">
        <v>4.03</v>
      </c>
      <c r="G29">
        <v>4.05</v>
      </c>
      <c r="H29">
        <v>3135</v>
      </c>
    </row>
    <row r="30" spans="1:8" x14ac:dyDescent="0.45">
      <c r="A30" t="s">
        <v>822</v>
      </c>
      <c r="B30" t="s">
        <v>789</v>
      </c>
      <c r="C30">
        <v>3.93</v>
      </c>
      <c r="D30">
        <v>3.87</v>
      </c>
      <c r="E30">
        <v>3.9</v>
      </c>
      <c r="F30">
        <v>3.99</v>
      </c>
      <c r="G30">
        <v>4.01</v>
      </c>
      <c r="H30">
        <v>3069</v>
      </c>
    </row>
    <row r="31" spans="1:8" x14ac:dyDescent="0.45">
      <c r="A31" t="s">
        <v>823</v>
      </c>
      <c r="B31" t="s">
        <v>789</v>
      </c>
      <c r="C31">
        <v>3.92</v>
      </c>
      <c r="D31">
        <v>3.86</v>
      </c>
      <c r="E31">
        <v>3.89</v>
      </c>
      <c r="F31">
        <v>3.99</v>
      </c>
      <c r="G31">
        <v>4.01</v>
      </c>
      <c r="H31">
        <v>3156</v>
      </c>
    </row>
    <row r="32" spans="1:8" x14ac:dyDescent="0.45">
      <c r="A32" t="s">
        <v>824</v>
      </c>
      <c r="B32" t="s">
        <v>789</v>
      </c>
      <c r="C32">
        <v>3.91</v>
      </c>
      <c r="D32">
        <v>3.85</v>
      </c>
      <c r="E32">
        <v>3.88</v>
      </c>
      <c r="F32">
        <v>3.98</v>
      </c>
      <c r="G32">
        <v>4.01</v>
      </c>
      <c r="H32">
        <v>3145</v>
      </c>
    </row>
    <row r="33" spans="1:8" x14ac:dyDescent="0.45">
      <c r="A33" t="s">
        <v>825</v>
      </c>
      <c r="B33" t="s">
        <v>789</v>
      </c>
      <c r="C33">
        <v>4</v>
      </c>
      <c r="D33">
        <v>3.94</v>
      </c>
      <c r="E33">
        <v>3.98</v>
      </c>
      <c r="F33">
        <v>4.08</v>
      </c>
      <c r="G33">
        <v>4.1399999999999997</v>
      </c>
      <c r="H33">
        <v>3147</v>
      </c>
    </row>
    <row r="34" spans="1:8" x14ac:dyDescent="0.45">
      <c r="A34" t="s">
        <v>826</v>
      </c>
      <c r="B34" t="s">
        <v>789</v>
      </c>
      <c r="C34">
        <v>4.13</v>
      </c>
      <c r="D34">
        <v>4</v>
      </c>
      <c r="E34">
        <v>4.09</v>
      </c>
      <c r="F34">
        <v>4.2</v>
      </c>
      <c r="G34">
        <v>4.2300000000000004</v>
      </c>
      <c r="H34">
        <v>3237</v>
      </c>
    </row>
    <row r="35" spans="1:8" x14ac:dyDescent="0.45">
      <c r="A35" t="s">
        <v>827</v>
      </c>
      <c r="B35" t="s">
        <v>789</v>
      </c>
      <c r="C35">
        <v>4.22</v>
      </c>
      <c r="D35">
        <v>4.05</v>
      </c>
      <c r="E35">
        <v>4.1500000000000004</v>
      </c>
      <c r="F35">
        <v>4.29</v>
      </c>
      <c r="G35">
        <v>4.3499999999999996</v>
      </c>
      <c r="H35">
        <v>3211</v>
      </c>
    </row>
    <row r="36" spans="1:8" x14ac:dyDescent="0.45">
      <c r="A36" t="s">
        <v>828</v>
      </c>
      <c r="B36" t="s">
        <v>789</v>
      </c>
      <c r="C36">
        <v>4.04</v>
      </c>
      <c r="D36">
        <v>3.95</v>
      </c>
      <c r="E36">
        <v>3.99</v>
      </c>
      <c r="F36">
        <v>4.09</v>
      </c>
      <c r="G36">
        <v>4.2699999999999996</v>
      </c>
      <c r="H36">
        <v>3098</v>
      </c>
    </row>
    <row r="37" spans="1:8" x14ac:dyDescent="0.45">
      <c r="A37" t="s">
        <v>829</v>
      </c>
      <c r="B37" t="s">
        <v>789</v>
      </c>
      <c r="C37">
        <v>4.2699999999999996</v>
      </c>
      <c r="D37">
        <v>4.18</v>
      </c>
      <c r="E37">
        <v>4.24</v>
      </c>
      <c r="F37">
        <v>4.33</v>
      </c>
      <c r="G37">
        <v>4.3600000000000003</v>
      </c>
      <c r="H37">
        <v>3061</v>
      </c>
    </row>
    <row r="38" spans="1:8" x14ac:dyDescent="0.45">
      <c r="A38" t="s">
        <v>830</v>
      </c>
      <c r="B38" t="s">
        <v>789</v>
      </c>
      <c r="C38">
        <v>4.3099999999999996</v>
      </c>
      <c r="D38">
        <v>4.2</v>
      </c>
      <c r="E38">
        <v>4.28</v>
      </c>
      <c r="F38">
        <v>4.3899999999999997</v>
      </c>
      <c r="G38">
        <v>4.42</v>
      </c>
      <c r="H38">
        <v>3067</v>
      </c>
    </row>
    <row r="39" spans="1:8" x14ac:dyDescent="0.45">
      <c r="A39" t="s">
        <v>831</v>
      </c>
      <c r="B39" t="s">
        <v>789</v>
      </c>
      <c r="C39">
        <v>4.2699999999999996</v>
      </c>
      <c r="D39">
        <v>4.1500000000000004</v>
      </c>
      <c r="E39">
        <v>4.24</v>
      </c>
      <c r="F39">
        <v>4.34</v>
      </c>
      <c r="G39">
        <v>4.3600000000000003</v>
      </c>
      <c r="H39">
        <v>3019</v>
      </c>
    </row>
    <row r="40" spans="1:8" x14ac:dyDescent="0.45">
      <c r="A40" t="s">
        <v>832</v>
      </c>
      <c r="B40" t="s">
        <v>789</v>
      </c>
      <c r="C40">
        <v>4.24</v>
      </c>
      <c r="D40">
        <v>4.16</v>
      </c>
      <c r="E40">
        <v>4.21</v>
      </c>
      <c r="F40">
        <v>4.3</v>
      </c>
      <c r="G40">
        <v>4.33</v>
      </c>
      <c r="H40">
        <v>3000</v>
      </c>
    </row>
    <row r="41" spans="1:8" x14ac:dyDescent="0.45">
      <c r="A41" t="s">
        <v>833</v>
      </c>
      <c r="B41" t="s">
        <v>789</v>
      </c>
      <c r="C41">
        <v>4.24</v>
      </c>
      <c r="D41">
        <v>4.1500000000000004</v>
      </c>
      <c r="E41">
        <v>4.21</v>
      </c>
      <c r="F41">
        <v>4.3</v>
      </c>
      <c r="G41">
        <v>4.33</v>
      </c>
      <c r="H41">
        <v>3002</v>
      </c>
    </row>
    <row r="42" spans="1:8" x14ac:dyDescent="0.45">
      <c r="A42" t="s">
        <v>834</v>
      </c>
      <c r="B42" t="s">
        <v>789</v>
      </c>
      <c r="C42">
        <v>4.21</v>
      </c>
      <c r="D42">
        <v>4.1399999999999997</v>
      </c>
      <c r="E42">
        <v>4.18</v>
      </c>
      <c r="F42">
        <v>4.2699999999999996</v>
      </c>
      <c r="G42">
        <v>4.29</v>
      </c>
      <c r="H42">
        <v>2956</v>
      </c>
    </row>
    <row r="43" spans="1:8" x14ac:dyDescent="0.45">
      <c r="A43" t="s">
        <v>835</v>
      </c>
      <c r="B43" t="s">
        <v>789</v>
      </c>
      <c r="C43">
        <v>4.2300000000000004</v>
      </c>
      <c r="D43">
        <v>4.1500000000000004</v>
      </c>
      <c r="E43">
        <v>4.21</v>
      </c>
      <c r="F43">
        <v>4.29</v>
      </c>
      <c r="G43">
        <v>4.33</v>
      </c>
      <c r="H43">
        <v>2957</v>
      </c>
    </row>
    <row r="44" spans="1:8" x14ac:dyDescent="0.45">
      <c r="A44" t="s">
        <v>836</v>
      </c>
      <c r="B44" t="s">
        <v>789</v>
      </c>
      <c r="C44">
        <v>4.16</v>
      </c>
      <c r="D44">
        <v>4.0999999999999996</v>
      </c>
      <c r="E44">
        <v>4.12</v>
      </c>
      <c r="F44">
        <v>4.21</v>
      </c>
      <c r="G44">
        <v>4.26</v>
      </c>
      <c r="H44">
        <v>2945</v>
      </c>
    </row>
    <row r="45" spans="1:8" x14ac:dyDescent="0.45">
      <c r="A45" t="s">
        <v>837</v>
      </c>
      <c r="B45" t="s">
        <v>789</v>
      </c>
      <c r="C45">
        <v>4.18</v>
      </c>
      <c r="D45">
        <v>4.0999999999999996</v>
      </c>
      <c r="E45">
        <v>4.16</v>
      </c>
      <c r="F45">
        <v>4.24</v>
      </c>
      <c r="G45">
        <v>4.3</v>
      </c>
      <c r="H45">
        <v>3022</v>
      </c>
    </row>
    <row r="46" spans="1:8" x14ac:dyDescent="0.45">
      <c r="A46" t="s">
        <v>838</v>
      </c>
      <c r="B46" t="s">
        <v>789</v>
      </c>
      <c r="C46">
        <v>4.3</v>
      </c>
      <c r="D46">
        <v>4.1500000000000004</v>
      </c>
      <c r="E46">
        <v>4.26</v>
      </c>
      <c r="F46">
        <v>4.37</v>
      </c>
      <c r="G46">
        <v>4.41</v>
      </c>
      <c r="H46">
        <v>3045</v>
      </c>
    </row>
    <row r="47" spans="1:8" x14ac:dyDescent="0.45">
      <c r="A47" t="s">
        <v>839</v>
      </c>
      <c r="B47" t="s">
        <v>789</v>
      </c>
      <c r="C47">
        <v>4.29</v>
      </c>
      <c r="D47">
        <v>4.1900000000000004</v>
      </c>
      <c r="E47">
        <v>4.25</v>
      </c>
      <c r="F47">
        <v>4.3499999999999996</v>
      </c>
      <c r="G47">
        <v>4.3899999999999997</v>
      </c>
      <c r="H47">
        <v>3059</v>
      </c>
    </row>
    <row r="48" spans="1:8" x14ac:dyDescent="0.45">
      <c r="A48" t="s">
        <v>840</v>
      </c>
      <c r="B48" t="s">
        <v>789</v>
      </c>
      <c r="C48">
        <v>4.1900000000000004</v>
      </c>
      <c r="D48">
        <v>4.1399999999999997</v>
      </c>
      <c r="E48">
        <v>4.17</v>
      </c>
      <c r="F48">
        <v>4.26</v>
      </c>
      <c r="G48">
        <v>4.3</v>
      </c>
      <c r="H48">
        <v>2932</v>
      </c>
    </row>
    <row r="49" spans="1:8" x14ac:dyDescent="0.45">
      <c r="A49" t="s">
        <v>841</v>
      </c>
      <c r="B49" t="s">
        <v>789</v>
      </c>
      <c r="C49">
        <v>4.1500000000000004</v>
      </c>
      <c r="D49">
        <v>4.0999999999999996</v>
      </c>
      <c r="E49">
        <v>4.12</v>
      </c>
      <c r="F49">
        <v>4.21</v>
      </c>
      <c r="G49">
        <v>4.2300000000000004</v>
      </c>
      <c r="H49">
        <v>2895</v>
      </c>
    </row>
    <row r="50" spans="1:8" x14ac:dyDescent="0.45">
      <c r="A50" t="s">
        <v>842</v>
      </c>
      <c r="B50" t="s">
        <v>789</v>
      </c>
      <c r="C50">
        <v>4.13</v>
      </c>
      <c r="D50">
        <v>4.08</v>
      </c>
      <c r="E50">
        <v>4.0999999999999996</v>
      </c>
      <c r="F50">
        <v>4.1900000000000004</v>
      </c>
      <c r="G50">
        <v>4.21</v>
      </c>
      <c r="H50">
        <v>2923</v>
      </c>
    </row>
    <row r="51" spans="1:8" x14ac:dyDescent="0.45">
      <c r="A51" t="s">
        <v>843</v>
      </c>
      <c r="B51" t="s">
        <v>789</v>
      </c>
      <c r="C51">
        <v>4.12</v>
      </c>
      <c r="D51">
        <v>4.08</v>
      </c>
      <c r="E51">
        <v>4.09</v>
      </c>
      <c r="F51">
        <v>4.18</v>
      </c>
      <c r="G51">
        <v>4.2</v>
      </c>
      <c r="H51">
        <v>2924</v>
      </c>
    </row>
    <row r="52" spans="1:8" x14ac:dyDescent="0.45">
      <c r="A52" t="s">
        <v>844</v>
      </c>
      <c r="B52" t="s">
        <v>789</v>
      </c>
      <c r="C52">
        <v>4.1399999999999997</v>
      </c>
      <c r="D52">
        <v>4.09</v>
      </c>
      <c r="E52">
        <v>4.12</v>
      </c>
      <c r="F52">
        <v>4.2</v>
      </c>
      <c r="G52">
        <v>4.2300000000000004</v>
      </c>
      <c r="H52">
        <v>2946</v>
      </c>
    </row>
    <row r="53" spans="1:8" x14ac:dyDescent="0.45">
      <c r="A53" t="s">
        <v>845</v>
      </c>
      <c r="B53" t="s">
        <v>789</v>
      </c>
      <c r="C53">
        <v>4.1500000000000004</v>
      </c>
      <c r="D53">
        <v>4.09</v>
      </c>
      <c r="E53">
        <v>4.13</v>
      </c>
      <c r="F53">
        <v>4.21</v>
      </c>
      <c r="G53">
        <v>4.24</v>
      </c>
      <c r="H53">
        <v>2981</v>
      </c>
    </row>
    <row r="54" spans="1:8" x14ac:dyDescent="0.45">
      <c r="A54" t="s">
        <v>846</v>
      </c>
      <c r="B54" t="s">
        <v>789</v>
      </c>
      <c r="C54">
        <v>4.18</v>
      </c>
      <c r="D54">
        <v>4.12</v>
      </c>
      <c r="E54">
        <v>4.16</v>
      </c>
      <c r="F54">
        <v>4.25</v>
      </c>
      <c r="G54">
        <v>4.2699999999999996</v>
      </c>
      <c r="H54">
        <v>3018</v>
      </c>
    </row>
    <row r="55" spans="1:8" x14ac:dyDescent="0.45">
      <c r="A55" t="s">
        <v>847</v>
      </c>
      <c r="B55" t="s">
        <v>789</v>
      </c>
      <c r="C55">
        <v>4.2</v>
      </c>
      <c r="D55">
        <v>4.1399999999999997</v>
      </c>
      <c r="E55">
        <v>4.17</v>
      </c>
      <c r="F55">
        <v>4.26</v>
      </c>
      <c r="G55">
        <v>4.28</v>
      </c>
      <c r="H55">
        <v>3022</v>
      </c>
    </row>
    <row r="56" spans="1:8" x14ac:dyDescent="0.45">
      <c r="A56" t="s">
        <v>848</v>
      </c>
      <c r="B56" t="s">
        <v>789</v>
      </c>
      <c r="C56">
        <v>4.2</v>
      </c>
      <c r="D56">
        <v>4.13</v>
      </c>
      <c r="E56">
        <v>4.16</v>
      </c>
      <c r="F56">
        <v>4.25</v>
      </c>
      <c r="G56">
        <v>4.29</v>
      </c>
      <c r="H56">
        <v>3075</v>
      </c>
    </row>
    <row r="57" spans="1:8" x14ac:dyDescent="0.45">
      <c r="A57" t="s">
        <v>849</v>
      </c>
      <c r="B57" t="s">
        <v>789</v>
      </c>
      <c r="C57">
        <v>4.24</v>
      </c>
      <c r="D57">
        <v>4.1399999999999997</v>
      </c>
      <c r="E57">
        <v>4.2</v>
      </c>
      <c r="F57">
        <v>4.3099999999999996</v>
      </c>
      <c r="G57">
        <v>4.38</v>
      </c>
      <c r="H57">
        <v>3148</v>
      </c>
    </row>
    <row r="58" spans="1:8" x14ac:dyDescent="0.45">
      <c r="A58" t="s">
        <v>850</v>
      </c>
      <c r="B58" t="s">
        <v>789</v>
      </c>
      <c r="C58">
        <v>4.13</v>
      </c>
      <c r="D58">
        <v>4.08</v>
      </c>
      <c r="E58">
        <v>4.12</v>
      </c>
      <c r="F58">
        <v>4.21</v>
      </c>
      <c r="G58">
        <v>4.24</v>
      </c>
      <c r="H58">
        <v>2893</v>
      </c>
    </row>
    <row r="59" spans="1:8" x14ac:dyDescent="0.45">
      <c r="A59" t="s">
        <v>851</v>
      </c>
      <c r="B59" t="s">
        <v>789</v>
      </c>
      <c r="C59">
        <v>4.16</v>
      </c>
      <c r="D59">
        <v>4.0999999999999996</v>
      </c>
      <c r="E59">
        <v>4.1399999999999997</v>
      </c>
      <c r="F59">
        <v>4.22</v>
      </c>
      <c r="G59">
        <v>4.26</v>
      </c>
      <c r="H59">
        <v>2917</v>
      </c>
    </row>
    <row r="60" spans="1:8" x14ac:dyDescent="0.45">
      <c r="A60" t="s">
        <v>852</v>
      </c>
      <c r="B60" t="s">
        <v>789</v>
      </c>
      <c r="C60">
        <v>4.18</v>
      </c>
      <c r="D60">
        <v>4.0999999999999996</v>
      </c>
      <c r="E60">
        <v>4.17</v>
      </c>
      <c r="F60">
        <v>4.26</v>
      </c>
      <c r="G60">
        <v>4.28</v>
      </c>
      <c r="H60">
        <v>2965</v>
      </c>
    </row>
    <row r="61" spans="1:8" x14ac:dyDescent="0.45">
      <c r="A61" t="s">
        <v>853</v>
      </c>
      <c r="B61" t="s">
        <v>789</v>
      </c>
      <c r="C61">
        <v>4.13</v>
      </c>
      <c r="D61">
        <v>4.08</v>
      </c>
      <c r="E61">
        <v>4.12</v>
      </c>
      <c r="F61">
        <v>4.2</v>
      </c>
      <c r="G61">
        <v>4.2300000000000004</v>
      </c>
      <c r="H61">
        <v>2852</v>
      </c>
    </row>
    <row r="62" spans="1:8" x14ac:dyDescent="0.45">
      <c r="A62" t="s">
        <v>854</v>
      </c>
      <c r="B62" t="s">
        <v>789</v>
      </c>
      <c r="C62">
        <v>4.12</v>
      </c>
      <c r="D62">
        <v>4.05</v>
      </c>
      <c r="E62">
        <v>4.09</v>
      </c>
      <c r="F62">
        <v>4.18</v>
      </c>
      <c r="G62">
        <v>4.2</v>
      </c>
      <c r="H62">
        <v>2877</v>
      </c>
    </row>
    <row r="63" spans="1:8" x14ac:dyDescent="0.45">
      <c r="A63" t="s">
        <v>855</v>
      </c>
      <c r="B63" t="s">
        <v>789</v>
      </c>
      <c r="C63">
        <v>4.1399999999999997</v>
      </c>
      <c r="D63">
        <v>4.09</v>
      </c>
      <c r="E63">
        <v>4.12</v>
      </c>
      <c r="F63">
        <v>4.2</v>
      </c>
      <c r="G63">
        <v>4.2300000000000004</v>
      </c>
      <c r="H63">
        <v>2906</v>
      </c>
    </row>
    <row r="64" spans="1:8" x14ac:dyDescent="0.45">
      <c r="A64" t="s">
        <v>856</v>
      </c>
      <c r="B64" t="s">
        <v>789</v>
      </c>
      <c r="C64">
        <v>4.1399999999999997</v>
      </c>
      <c r="D64">
        <v>4.08</v>
      </c>
      <c r="E64">
        <v>4.12</v>
      </c>
      <c r="F64">
        <v>4.21</v>
      </c>
      <c r="G64">
        <v>4.2300000000000004</v>
      </c>
      <c r="H64">
        <v>2881</v>
      </c>
    </row>
    <row r="65" spans="1:8" x14ac:dyDescent="0.45">
      <c r="A65" t="s">
        <v>857</v>
      </c>
      <c r="B65" t="s">
        <v>789</v>
      </c>
      <c r="C65">
        <v>4.1399999999999997</v>
      </c>
      <c r="D65">
        <v>4.08</v>
      </c>
      <c r="E65">
        <v>4.1100000000000003</v>
      </c>
      <c r="F65">
        <v>4.2</v>
      </c>
      <c r="G65">
        <v>4.3899999999999997</v>
      </c>
      <c r="H65">
        <v>2894</v>
      </c>
    </row>
    <row r="66" spans="1:8" x14ac:dyDescent="0.45">
      <c r="A66" t="s">
        <v>858</v>
      </c>
      <c r="B66" t="s">
        <v>789</v>
      </c>
      <c r="C66">
        <v>4.38</v>
      </c>
      <c r="D66">
        <v>4.33</v>
      </c>
      <c r="E66">
        <v>4.3499999999999996</v>
      </c>
      <c r="F66">
        <v>4.43</v>
      </c>
      <c r="G66">
        <v>4.46</v>
      </c>
      <c r="H66">
        <v>2853</v>
      </c>
    </row>
    <row r="67" spans="1:8" x14ac:dyDescent="0.45">
      <c r="A67" t="s">
        <v>859</v>
      </c>
      <c r="B67" t="s">
        <v>789</v>
      </c>
      <c r="C67">
        <v>4.3899999999999997</v>
      </c>
      <c r="D67">
        <v>4.34</v>
      </c>
      <c r="E67">
        <v>4.3600000000000003</v>
      </c>
      <c r="F67">
        <v>4.45</v>
      </c>
      <c r="G67">
        <v>4.51</v>
      </c>
      <c r="H67">
        <v>2857</v>
      </c>
    </row>
    <row r="68" spans="1:8" x14ac:dyDescent="0.45">
      <c r="A68" t="s">
        <v>860</v>
      </c>
      <c r="B68" t="s">
        <v>789</v>
      </c>
      <c r="C68">
        <v>4.51</v>
      </c>
      <c r="D68">
        <v>4.38</v>
      </c>
      <c r="E68">
        <v>4.5</v>
      </c>
      <c r="F68">
        <v>4.62</v>
      </c>
      <c r="G68">
        <v>4.68</v>
      </c>
      <c r="H68">
        <v>2877</v>
      </c>
    </row>
    <row r="69" spans="1:8" x14ac:dyDescent="0.45">
      <c r="A69" t="s">
        <v>861</v>
      </c>
      <c r="B69" t="s">
        <v>789</v>
      </c>
      <c r="C69">
        <v>4.42</v>
      </c>
      <c r="D69">
        <v>4.3600000000000003</v>
      </c>
      <c r="E69">
        <v>4.4000000000000004</v>
      </c>
      <c r="F69">
        <v>4.4800000000000004</v>
      </c>
      <c r="G69">
        <v>4.53</v>
      </c>
      <c r="H69">
        <v>2830</v>
      </c>
    </row>
    <row r="70" spans="1:8" x14ac:dyDescent="0.45">
      <c r="A70" t="s">
        <v>862</v>
      </c>
      <c r="B70" t="s">
        <v>789</v>
      </c>
      <c r="C70">
        <v>4.41</v>
      </c>
      <c r="D70">
        <v>4.3499999999999996</v>
      </c>
      <c r="E70">
        <v>4.38</v>
      </c>
      <c r="F70">
        <v>4.46</v>
      </c>
      <c r="G70">
        <v>4.5</v>
      </c>
      <c r="H70">
        <v>2828</v>
      </c>
    </row>
    <row r="71" spans="1:8" x14ac:dyDescent="0.45">
      <c r="A71" t="s">
        <v>863</v>
      </c>
      <c r="B71" t="s">
        <v>789</v>
      </c>
      <c r="C71">
        <v>4.3899999999999997</v>
      </c>
      <c r="D71">
        <v>4.34</v>
      </c>
      <c r="E71">
        <v>4.37</v>
      </c>
      <c r="F71">
        <v>4.45</v>
      </c>
      <c r="G71">
        <v>4.4800000000000004</v>
      </c>
      <c r="H71">
        <v>2800</v>
      </c>
    </row>
    <row r="72" spans="1:8" x14ac:dyDescent="0.45">
      <c r="A72" t="s">
        <v>864</v>
      </c>
      <c r="B72" t="s">
        <v>789</v>
      </c>
      <c r="C72">
        <v>4.4000000000000004</v>
      </c>
      <c r="D72">
        <v>4.3499999999999996</v>
      </c>
      <c r="E72">
        <v>4.38</v>
      </c>
      <c r="F72">
        <v>4.46</v>
      </c>
      <c r="G72">
        <v>4.49</v>
      </c>
      <c r="H72">
        <v>2863</v>
      </c>
    </row>
    <row r="73" spans="1:8" x14ac:dyDescent="0.45">
      <c r="A73" t="s">
        <v>865</v>
      </c>
      <c r="B73" t="s">
        <v>789</v>
      </c>
      <c r="C73">
        <v>4.4000000000000004</v>
      </c>
      <c r="D73">
        <v>4.3499999999999996</v>
      </c>
      <c r="E73">
        <v>4.3899999999999997</v>
      </c>
      <c r="F73">
        <v>4.47</v>
      </c>
      <c r="G73">
        <v>4.5</v>
      </c>
      <c r="H73">
        <v>2872</v>
      </c>
    </row>
    <row r="74" spans="1:8" x14ac:dyDescent="0.45">
      <c r="A74" t="s">
        <v>866</v>
      </c>
      <c r="B74" t="s">
        <v>789</v>
      </c>
      <c r="C74">
        <v>4.42</v>
      </c>
      <c r="D74">
        <v>4.3499999999999996</v>
      </c>
      <c r="E74">
        <v>4.4000000000000004</v>
      </c>
      <c r="F74">
        <v>4.49</v>
      </c>
      <c r="G74">
        <v>4.5199999999999996</v>
      </c>
      <c r="H74">
        <v>2847</v>
      </c>
    </row>
    <row r="75" spans="1:8" x14ac:dyDescent="0.45">
      <c r="A75" t="s">
        <v>867</v>
      </c>
      <c r="B75" t="s">
        <v>789</v>
      </c>
      <c r="C75">
        <v>4.41</v>
      </c>
      <c r="D75">
        <v>4.3499999999999996</v>
      </c>
      <c r="E75">
        <v>4.38</v>
      </c>
      <c r="F75">
        <v>4.47</v>
      </c>
      <c r="G75">
        <v>4.5</v>
      </c>
      <c r="H75">
        <v>2834</v>
      </c>
    </row>
    <row r="76" spans="1:8" x14ac:dyDescent="0.45">
      <c r="A76" t="s">
        <v>868</v>
      </c>
      <c r="B76" t="s">
        <v>789</v>
      </c>
      <c r="C76">
        <v>4.3899999999999997</v>
      </c>
      <c r="D76">
        <v>4.34</v>
      </c>
      <c r="E76">
        <v>4.3600000000000003</v>
      </c>
      <c r="F76">
        <v>4.45</v>
      </c>
      <c r="G76">
        <v>4.4800000000000004</v>
      </c>
      <c r="H76">
        <v>2880</v>
      </c>
    </row>
    <row r="77" spans="1:8" x14ac:dyDescent="0.45">
      <c r="A77" t="s">
        <v>869</v>
      </c>
      <c r="B77" t="s">
        <v>789</v>
      </c>
      <c r="C77">
        <v>4.3899999999999997</v>
      </c>
      <c r="D77">
        <v>4.34</v>
      </c>
      <c r="E77">
        <v>4.3600000000000003</v>
      </c>
      <c r="F77">
        <v>4.46</v>
      </c>
      <c r="G77">
        <v>4.5</v>
      </c>
      <c r="H77">
        <v>2947</v>
      </c>
    </row>
    <row r="78" spans="1:8" x14ac:dyDescent="0.45">
      <c r="A78" t="s">
        <v>870</v>
      </c>
      <c r="B78" t="s">
        <v>789</v>
      </c>
      <c r="C78">
        <v>4.34</v>
      </c>
      <c r="D78">
        <v>4.3</v>
      </c>
      <c r="E78">
        <v>4.33</v>
      </c>
      <c r="F78">
        <v>4.4000000000000004</v>
      </c>
      <c r="G78">
        <v>4.4400000000000004</v>
      </c>
      <c r="H78">
        <v>2880</v>
      </c>
    </row>
    <row r="79" spans="1:8" x14ac:dyDescent="0.45">
      <c r="A79" t="s">
        <v>871</v>
      </c>
      <c r="B79" t="s">
        <v>789</v>
      </c>
      <c r="C79">
        <v>4.34</v>
      </c>
      <c r="D79">
        <v>4.3</v>
      </c>
      <c r="E79">
        <v>4.33</v>
      </c>
      <c r="F79">
        <v>4.4000000000000004</v>
      </c>
      <c r="G79">
        <v>4.4400000000000004</v>
      </c>
      <c r="H79">
        <v>2870</v>
      </c>
    </row>
    <row r="80" spans="1:8" x14ac:dyDescent="0.45">
      <c r="A80" t="s">
        <v>872</v>
      </c>
      <c r="B80" t="s">
        <v>789</v>
      </c>
      <c r="C80">
        <v>4.3600000000000003</v>
      </c>
      <c r="D80">
        <v>4.32</v>
      </c>
      <c r="E80">
        <v>4.3499999999999996</v>
      </c>
      <c r="F80">
        <v>4.42</v>
      </c>
      <c r="G80">
        <v>4.47</v>
      </c>
      <c r="H80">
        <v>2889</v>
      </c>
    </row>
    <row r="81" spans="1:8" x14ac:dyDescent="0.45">
      <c r="A81" t="s">
        <v>873</v>
      </c>
      <c r="B81" t="s">
        <v>789</v>
      </c>
      <c r="C81">
        <v>4.38</v>
      </c>
      <c r="D81">
        <v>4.32</v>
      </c>
      <c r="E81">
        <v>4.37</v>
      </c>
      <c r="F81">
        <v>4.4400000000000004</v>
      </c>
      <c r="G81">
        <v>4.49</v>
      </c>
      <c r="H81">
        <v>2820</v>
      </c>
    </row>
    <row r="82" spans="1:8" x14ac:dyDescent="0.45">
      <c r="A82" t="s">
        <v>874</v>
      </c>
      <c r="B82" t="s">
        <v>789</v>
      </c>
      <c r="C82">
        <v>4.37</v>
      </c>
      <c r="D82">
        <v>4.3</v>
      </c>
      <c r="E82">
        <v>4.3600000000000003</v>
      </c>
      <c r="F82">
        <v>4.43</v>
      </c>
      <c r="G82">
        <v>4.47</v>
      </c>
      <c r="H82">
        <v>2825</v>
      </c>
    </row>
    <row r="83" spans="1:8" x14ac:dyDescent="0.45">
      <c r="A83" t="s">
        <v>875</v>
      </c>
      <c r="B83" t="s">
        <v>789</v>
      </c>
      <c r="C83">
        <v>4.3600000000000003</v>
      </c>
      <c r="D83">
        <v>4.3</v>
      </c>
      <c r="E83">
        <v>4.3499999999999996</v>
      </c>
      <c r="F83">
        <v>4.42</v>
      </c>
      <c r="G83">
        <v>4.46</v>
      </c>
      <c r="H83">
        <v>2738</v>
      </c>
    </row>
    <row r="84" spans="1:8" x14ac:dyDescent="0.45">
      <c r="A84" t="s">
        <v>876</v>
      </c>
      <c r="B84" t="s">
        <v>789</v>
      </c>
      <c r="C84">
        <v>4.32</v>
      </c>
      <c r="D84">
        <v>4.28</v>
      </c>
      <c r="E84">
        <v>4.3099999999999996</v>
      </c>
      <c r="F84">
        <v>4.3899999999999997</v>
      </c>
      <c r="G84">
        <v>4.42</v>
      </c>
      <c r="H84">
        <v>2702</v>
      </c>
    </row>
    <row r="85" spans="1:8" x14ac:dyDescent="0.45">
      <c r="A85" t="s">
        <v>877</v>
      </c>
      <c r="B85" t="s">
        <v>789</v>
      </c>
      <c r="C85">
        <v>4.3099999999999996</v>
      </c>
      <c r="D85">
        <v>4.28</v>
      </c>
      <c r="E85">
        <v>4.3</v>
      </c>
      <c r="F85">
        <v>4.37</v>
      </c>
      <c r="G85">
        <v>4.4000000000000004</v>
      </c>
      <c r="H85">
        <v>2704</v>
      </c>
    </row>
    <row r="86" spans="1:8" x14ac:dyDescent="0.45">
      <c r="A86" t="s">
        <v>878</v>
      </c>
      <c r="B86" t="s">
        <v>789</v>
      </c>
      <c r="C86">
        <v>4.33</v>
      </c>
      <c r="D86">
        <v>4.29</v>
      </c>
      <c r="E86">
        <v>4.3099999999999996</v>
      </c>
      <c r="F86">
        <v>4.38</v>
      </c>
      <c r="G86">
        <v>4.42</v>
      </c>
      <c r="H86">
        <v>2760</v>
      </c>
    </row>
    <row r="87" spans="1:8" x14ac:dyDescent="0.45">
      <c r="A87" t="s">
        <v>879</v>
      </c>
      <c r="B87" t="s">
        <v>789</v>
      </c>
      <c r="C87">
        <v>4.34</v>
      </c>
      <c r="D87">
        <v>4.3</v>
      </c>
      <c r="E87">
        <v>4.33</v>
      </c>
      <c r="F87">
        <v>4.4000000000000004</v>
      </c>
      <c r="G87">
        <v>4.4400000000000004</v>
      </c>
      <c r="H87">
        <v>2810</v>
      </c>
    </row>
    <row r="88" spans="1:8" x14ac:dyDescent="0.45">
      <c r="A88" t="s">
        <v>880</v>
      </c>
      <c r="B88" t="s">
        <v>789</v>
      </c>
      <c r="C88">
        <v>4.3600000000000003</v>
      </c>
      <c r="D88">
        <v>4.32</v>
      </c>
      <c r="E88">
        <v>4.34</v>
      </c>
      <c r="F88">
        <v>4.42</v>
      </c>
      <c r="G88">
        <v>4.46</v>
      </c>
      <c r="H88">
        <v>2821</v>
      </c>
    </row>
    <row r="89" spans="1:8" x14ac:dyDescent="0.45">
      <c r="A89" t="s">
        <v>881</v>
      </c>
      <c r="B89" t="s">
        <v>789</v>
      </c>
      <c r="C89">
        <v>4.34</v>
      </c>
      <c r="D89">
        <v>4.3</v>
      </c>
      <c r="E89">
        <v>4.32</v>
      </c>
      <c r="F89">
        <v>4.4000000000000004</v>
      </c>
      <c r="G89">
        <v>4.43</v>
      </c>
      <c r="H89">
        <v>2767</v>
      </c>
    </row>
    <row r="90" spans="1:8" x14ac:dyDescent="0.45">
      <c r="A90" t="s">
        <v>882</v>
      </c>
      <c r="B90" t="s">
        <v>789</v>
      </c>
      <c r="C90">
        <v>4.33</v>
      </c>
      <c r="D90">
        <v>4.29</v>
      </c>
      <c r="E90">
        <v>4.32</v>
      </c>
      <c r="F90">
        <v>4.3899999999999997</v>
      </c>
      <c r="G90">
        <v>4.43</v>
      </c>
      <c r="H90">
        <v>2796</v>
      </c>
    </row>
    <row r="91" spans="1:8" x14ac:dyDescent="0.45">
      <c r="A91" t="s">
        <v>883</v>
      </c>
      <c r="B91" t="s">
        <v>789</v>
      </c>
      <c r="C91">
        <v>4.3600000000000003</v>
      </c>
      <c r="D91">
        <v>4.3</v>
      </c>
      <c r="E91">
        <v>4.34</v>
      </c>
      <c r="F91">
        <v>4.41</v>
      </c>
      <c r="G91">
        <v>4.46</v>
      </c>
      <c r="H91">
        <v>2804</v>
      </c>
    </row>
    <row r="92" spans="1:8" x14ac:dyDescent="0.45">
      <c r="A92" t="s">
        <v>884</v>
      </c>
      <c r="B92" t="s">
        <v>789</v>
      </c>
      <c r="C92">
        <v>4.34</v>
      </c>
      <c r="D92">
        <v>4.29</v>
      </c>
      <c r="E92">
        <v>4.33</v>
      </c>
      <c r="F92">
        <v>4.4000000000000004</v>
      </c>
      <c r="G92">
        <v>4.4400000000000004</v>
      </c>
      <c r="H92">
        <v>2796</v>
      </c>
    </row>
    <row r="93" spans="1:8" x14ac:dyDescent="0.45">
      <c r="A93" t="s">
        <v>885</v>
      </c>
      <c r="B93" t="s">
        <v>789</v>
      </c>
      <c r="C93">
        <v>4.3499999999999996</v>
      </c>
      <c r="D93">
        <v>4.3</v>
      </c>
      <c r="E93">
        <v>4.33</v>
      </c>
      <c r="F93">
        <v>4.4000000000000004</v>
      </c>
      <c r="G93">
        <v>4.43</v>
      </c>
      <c r="H93">
        <v>2817</v>
      </c>
    </row>
    <row r="94" spans="1:8" x14ac:dyDescent="0.45">
      <c r="A94" t="s">
        <v>886</v>
      </c>
      <c r="B94" t="s">
        <v>789</v>
      </c>
      <c r="C94">
        <v>4.3499999999999996</v>
      </c>
      <c r="D94">
        <v>4.3099999999999996</v>
      </c>
      <c r="E94">
        <v>4.33</v>
      </c>
      <c r="F94">
        <v>4.41</v>
      </c>
      <c r="G94">
        <v>4.4400000000000004</v>
      </c>
      <c r="H94">
        <v>2855</v>
      </c>
    </row>
    <row r="95" spans="1:8" x14ac:dyDescent="0.45">
      <c r="A95" t="s">
        <v>887</v>
      </c>
      <c r="B95" t="s">
        <v>789</v>
      </c>
      <c r="C95">
        <v>4.34</v>
      </c>
      <c r="D95">
        <v>4.28</v>
      </c>
      <c r="E95">
        <v>4.32</v>
      </c>
      <c r="F95">
        <v>4.3899999999999997</v>
      </c>
      <c r="G95">
        <v>4.43</v>
      </c>
      <c r="H95">
        <v>2866</v>
      </c>
    </row>
    <row r="96" spans="1:8" x14ac:dyDescent="0.45">
      <c r="A96" t="s">
        <v>888</v>
      </c>
      <c r="B96" t="s">
        <v>789</v>
      </c>
      <c r="C96">
        <v>4.34</v>
      </c>
      <c r="D96">
        <v>4.29</v>
      </c>
      <c r="E96">
        <v>4.33</v>
      </c>
      <c r="F96">
        <v>4.4000000000000004</v>
      </c>
      <c r="G96">
        <v>4.43</v>
      </c>
      <c r="H96">
        <v>2863</v>
      </c>
    </row>
    <row r="97" spans="1:8" x14ac:dyDescent="0.45">
      <c r="A97" t="s">
        <v>889</v>
      </c>
      <c r="B97" t="s">
        <v>789</v>
      </c>
      <c r="C97">
        <v>4.33</v>
      </c>
      <c r="D97">
        <v>4.28</v>
      </c>
      <c r="E97">
        <v>4.3099999999999996</v>
      </c>
      <c r="F97">
        <v>4.38</v>
      </c>
      <c r="G97">
        <v>4.42</v>
      </c>
      <c r="H97">
        <v>2828</v>
      </c>
    </row>
    <row r="98" spans="1:8" x14ac:dyDescent="0.45">
      <c r="A98" t="s">
        <v>890</v>
      </c>
      <c r="B98" t="s">
        <v>789</v>
      </c>
      <c r="C98">
        <v>4.34</v>
      </c>
      <c r="D98">
        <v>4.28</v>
      </c>
      <c r="E98">
        <v>4.32</v>
      </c>
      <c r="F98">
        <v>4.3899999999999997</v>
      </c>
      <c r="G98">
        <v>4.42</v>
      </c>
      <c r="H98">
        <v>2885</v>
      </c>
    </row>
    <row r="99" spans="1:8" x14ac:dyDescent="0.45">
      <c r="A99" t="s">
        <v>891</v>
      </c>
      <c r="B99" t="s">
        <v>789</v>
      </c>
      <c r="C99">
        <v>4.3899999999999997</v>
      </c>
      <c r="D99">
        <v>4.3</v>
      </c>
      <c r="E99">
        <v>4.3600000000000003</v>
      </c>
      <c r="F99">
        <v>4.45</v>
      </c>
      <c r="G99">
        <v>4.4800000000000004</v>
      </c>
      <c r="H99">
        <v>2933</v>
      </c>
    </row>
    <row r="100" spans="1:8" x14ac:dyDescent="0.45">
      <c r="A100" t="s">
        <v>892</v>
      </c>
      <c r="B100" t="s">
        <v>789</v>
      </c>
      <c r="C100">
        <v>4.32</v>
      </c>
      <c r="D100">
        <v>4.28</v>
      </c>
      <c r="E100">
        <v>4.3099999999999996</v>
      </c>
      <c r="F100">
        <v>4.38</v>
      </c>
      <c r="G100">
        <v>4.42</v>
      </c>
      <c r="H100">
        <v>2727</v>
      </c>
    </row>
    <row r="101" spans="1:8" x14ac:dyDescent="0.45">
      <c r="A101" t="s">
        <v>893</v>
      </c>
      <c r="B101" t="s">
        <v>789</v>
      </c>
      <c r="C101">
        <v>4.3600000000000003</v>
      </c>
      <c r="D101">
        <v>4.3</v>
      </c>
      <c r="E101">
        <v>4.34</v>
      </c>
      <c r="F101">
        <v>4.42</v>
      </c>
      <c r="G101">
        <v>4.46</v>
      </c>
      <c r="H101">
        <v>2754</v>
      </c>
    </row>
    <row r="102" spans="1:8" x14ac:dyDescent="0.45">
      <c r="A102" t="s">
        <v>894</v>
      </c>
      <c r="B102" t="s">
        <v>789</v>
      </c>
      <c r="C102">
        <v>4.3600000000000003</v>
      </c>
      <c r="D102">
        <v>4.3099999999999996</v>
      </c>
      <c r="E102">
        <v>4.3499999999999996</v>
      </c>
      <c r="F102">
        <v>4.43</v>
      </c>
      <c r="G102">
        <v>4.47</v>
      </c>
      <c r="H102">
        <v>2783</v>
      </c>
    </row>
    <row r="103" spans="1:8" x14ac:dyDescent="0.45">
      <c r="A103" t="s">
        <v>895</v>
      </c>
      <c r="B103" t="s">
        <v>789</v>
      </c>
      <c r="C103">
        <v>4.3600000000000003</v>
      </c>
      <c r="D103">
        <v>4.3</v>
      </c>
      <c r="E103">
        <v>4.3499999999999996</v>
      </c>
      <c r="F103">
        <v>4.43</v>
      </c>
      <c r="G103">
        <v>4.47</v>
      </c>
      <c r="H103">
        <v>2766</v>
      </c>
    </row>
    <row r="104" spans="1:8" x14ac:dyDescent="0.45">
      <c r="A104" t="s">
        <v>896</v>
      </c>
      <c r="B104" t="s">
        <v>789</v>
      </c>
      <c r="C104">
        <v>4.3</v>
      </c>
      <c r="D104">
        <v>4.2699999999999996</v>
      </c>
      <c r="E104">
        <v>4.29</v>
      </c>
      <c r="F104">
        <v>4.3600000000000003</v>
      </c>
      <c r="G104">
        <v>4.3899999999999997</v>
      </c>
      <c r="H104">
        <v>2725</v>
      </c>
    </row>
    <row r="105" spans="1:8" x14ac:dyDescent="0.45">
      <c r="A105" t="s">
        <v>897</v>
      </c>
      <c r="B105" t="s">
        <v>789</v>
      </c>
      <c r="C105">
        <v>4.28</v>
      </c>
      <c r="D105">
        <v>4.25</v>
      </c>
      <c r="E105">
        <v>4.2699999999999996</v>
      </c>
      <c r="F105">
        <v>4.33</v>
      </c>
      <c r="G105">
        <v>4.3600000000000003</v>
      </c>
      <c r="H105">
        <v>2659</v>
      </c>
    </row>
    <row r="106" spans="1:8" x14ac:dyDescent="0.45">
      <c r="A106" t="s">
        <v>898</v>
      </c>
      <c r="B106" t="s">
        <v>789</v>
      </c>
      <c r="C106">
        <v>4.28</v>
      </c>
      <c r="D106">
        <v>4.25</v>
      </c>
      <c r="E106">
        <v>4.2699999999999996</v>
      </c>
      <c r="F106">
        <v>4.33</v>
      </c>
      <c r="G106">
        <v>4.3600000000000003</v>
      </c>
      <c r="H106">
        <v>2692</v>
      </c>
    </row>
    <row r="107" spans="1:8" x14ac:dyDescent="0.45">
      <c r="A107" t="s">
        <v>899</v>
      </c>
      <c r="B107" t="s">
        <v>789</v>
      </c>
      <c r="C107">
        <v>4.28</v>
      </c>
      <c r="D107">
        <v>4.25</v>
      </c>
      <c r="E107">
        <v>4.2699999999999996</v>
      </c>
      <c r="F107">
        <v>4.33</v>
      </c>
      <c r="G107">
        <v>4.3600000000000003</v>
      </c>
      <c r="H107">
        <v>2688</v>
      </c>
    </row>
    <row r="108" spans="1:8" x14ac:dyDescent="0.45">
      <c r="A108" t="s">
        <v>900</v>
      </c>
      <c r="B108" t="s">
        <v>789</v>
      </c>
      <c r="C108">
        <v>4.3</v>
      </c>
      <c r="D108">
        <v>4.2699999999999996</v>
      </c>
      <c r="E108">
        <v>4.29</v>
      </c>
      <c r="F108">
        <v>4.3600000000000003</v>
      </c>
      <c r="G108">
        <v>4.3899999999999997</v>
      </c>
      <c r="H108">
        <v>2775</v>
      </c>
    </row>
    <row r="109" spans="1:8" x14ac:dyDescent="0.45">
      <c r="A109" t="s">
        <v>901</v>
      </c>
      <c r="B109" t="s">
        <v>789</v>
      </c>
      <c r="C109">
        <v>4.34</v>
      </c>
      <c r="D109">
        <v>4.28</v>
      </c>
      <c r="E109">
        <v>4.33</v>
      </c>
      <c r="F109">
        <v>4.3899999999999997</v>
      </c>
      <c r="G109">
        <v>4.43</v>
      </c>
      <c r="H109">
        <v>2743</v>
      </c>
    </row>
    <row r="110" spans="1:8" x14ac:dyDescent="0.45">
      <c r="A110" t="s">
        <v>902</v>
      </c>
      <c r="B110" t="s">
        <v>789</v>
      </c>
      <c r="C110">
        <v>4.34</v>
      </c>
      <c r="D110">
        <v>4.29</v>
      </c>
      <c r="E110">
        <v>4.33</v>
      </c>
      <c r="F110">
        <v>4.4000000000000004</v>
      </c>
      <c r="G110">
        <v>4.4400000000000004</v>
      </c>
      <c r="H110">
        <v>2771</v>
      </c>
    </row>
    <row r="111" spans="1:8" x14ac:dyDescent="0.45">
      <c r="A111" t="s">
        <v>903</v>
      </c>
      <c r="B111" t="s">
        <v>789</v>
      </c>
      <c r="C111">
        <v>4.37</v>
      </c>
      <c r="D111">
        <v>4.32</v>
      </c>
      <c r="E111">
        <v>4.3600000000000003</v>
      </c>
      <c r="F111">
        <v>4.4400000000000004</v>
      </c>
      <c r="G111">
        <v>4.4800000000000004</v>
      </c>
      <c r="H111">
        <v>2784</v>
      </c>
    </row>
    <row r="112" spans="1:8" x14ac:dyDescent="0.45">
      <c r="A112" t="s">
        <v>904</v>
      </c>
      <c r="B112" t="s">
        <v>789</v>
      </c>
      <c r="C112">
        <v>4.33</v>
      </c>
      <c r="D112">
        <v>4.29</v>
      </c>
      <c r="E112">
        <v>4.32</v>
      </c>
      <c r="F112">
        <v>4.3899999999999997</v>
      </c>
      <c r="G112">
        <v>4.43</v>
      </c>
      <c r="H112">
        <v>2759</v>
      </c>
    </row>
    <row r="113" spans="1:8" x14ac:dyDescent="0.45">
      <c r="A113" t="s">
        <v>905</v>
      </c>
      <c r="B113" t="s">
        <v>789</v>
      </c>
      <c r="C113">
        <v>4.3099999999999996</v>
      </c>
      <c r="D113">
        <v>4.2699999999999996</v>
      </c>
      <c r="E113">
        <v>4.3</v>
      </c>
      <c r="F113">
        <v>4.38</v>
      </c>
      <c r="G113">
        <v>4.41</v>
      </c>
      <c r="H113">
        <v>2754</v>
      </c>
    </row>
    <row r="114" spans="1:8" x14ac:dyDescent="0.45">
      <c r="A114" t="s">
        <v>906</v>
      </c>
      <c r="B114" t="s">
        <v>789</v>
      </c>
      <c r="C114">
        <v>4.3099999999999996</v>
      </c>
      <c r="D114">
        <v>4.2699999999999996</v>
      </c>
      <c r="E114">
        <v>4.3</v>
      </c>
      <c r="F114">
        <v>4.37</v>
      </c>
      <c r="G114">
        <v>4.4000000000000004</v>
      </c>
      <c r="H114">
        <v>2735</v>
      </c>
    </row>
    <row r="115" spans="1:8" x14ac:dyDescent="0.45">
      <c r="A115" t="s">
        <v>907</v>
      </c>
      <c r="B115" t="s">
        <v>789</v>
      </c>
      <c r="C115">
        <v>4.32</v>
      </c>
      <c r="D115">
        <v>4.2699999999999996</v>
      </c>
      <c r="E115">
        <v>4.3099999999999996</v>
      </c>
      <c r="F115">
        <v>4.38</v>
      </c>
      <c r="G115">
        <v>4.42</v>
      </c>
      <c r="H115">
        <v>2752</v>
      </c>
    </row>
    <row r="116" spans="1:8" x14ac:dyDescent="0.45">
      <c r="A116" t="s">
        <v>908</v>
      </c>
      <c r="B116" t="s">
        <v>789</v>
      </c>
      <c r="C116">
        <v>4.34</v>
      </c>
      <c r="D116">
        <v>4.28</v>
      </c>
      <c r="E116">
        <v>4.32</v>
      </c>
      <c r="F116">
        <v>4.3899999999999997</v>
      </c>
      <c r="G116">
        <v>4.4400000000000004</v>
      </c>
      <c r="H116">
        <v>2765</v>
      </c>
    </row>
    <row r="117" spans="1:8" x14ac:dyDescent="0.45">
      <c r="A117" t="s">
        <v>909</v>
      </c>
      <c r="B117" t="s">
        <v>789</v>
      </c>
      <c r="C117">
        <v>4.33</v>
      </c>
      <c r="D117">
        <v>4.2699999999999996</v>
      </c>
      <c r="E117">
        <v>4.3099999999999996</v>
      </c>
      <c r="F117">
        <v>4.3899999999999997</v>
      </c>
      <c r="G117">
        <v>4.42</v>
      </c>
      <c r="H117">
        <v>2814</v>
      </c>
    </row>
    <row r="118" spans="1:8" x14ac:dyDescent="0.45">
      <c r="A118" t="s">
        <v>910</v>
      </c>
      <c r="B118" t="s">
        <v>789</v>
      </c>
      <c r="C118">
        <v>4.3499999999999996</v>
      </c>
      <c r="D118">
        <v>4.2699999999999996</v>
      </c>
      <c r="E118">
        <v>4.32</v>
      </c>
      <c r="F118">
        <v>4.41</v>
      </c>
      <c r="G118">
        <v>4.4400000000000004</v>
      </c>
      <c r="H118">
        <v>2846</v>
      </c>
    </row>
    <row r="119" spans="1:8" x14ac:dyDescent="0.45">
      <c r="A119" t="s">
        <v>911</v>
      </c>
      <c r="B119" t="s">
        <v>789</v>
      </c>
      <c r="C119">
        <v>4.4000000000000004</v>
      </c>
      <c r="D119">
        <v>4.3</v>
      </c>
      <c r="E119">
        <v>4.37</v>
      </c>
      <c r="F119">
        <v>4.47</v>
      </c>
      <c r="G119">
        <v>4.5</v>
      </c>
      <c r="H119">
        <v>2882</v>
      </c>
    </row>
    <row r="120" spans="1:8" x14ac:dyDescent="0.45">
      <c r="A120" t="s">
        <v>912</v>
      </c>
      <c r="B120" t="s">
        <v>789</v>
      </c>
      <c r="C120">
        <v>4.4400000000000004</v>
      </c>
      <c r="D120">
        <v>4.32</v>
      </c>
      <c r="E120">
        <v>4.3899999999999997</v>
      </c>
      <c r="F120">
        <v>4.51</v>
      </c>
      <c r="G120">
        <v>4.54</v>
      </c>
      <c r="H120">
        <v>2920</v>
      </c>
    </row>
    <row r="121" spans="1:8" x14ac:dyDescent="0.45">
      <c r="A121" t="s">
        <v>913</v>
      </c>
      <c r="B121" t="s">
        <v>789</v>
      </c>
      <c r="C121">
        <v>4.45</v>
      </c>
      <c r="D121">
        <v>4.3499999999999996</v>
      </c>
      <c r="E121">
        <v>4.3899999999999997</v>
      </c>
      <c r="F121">
        <v>4.51</v>
      </c>
      <c r="G121">
        <v>4.6500000000000004</v>
      </c>
      <c r="H121">
        <v>2946</v>
      </c>
    </row>
    <row r="122" spans="1:8" x14ac:dyDescent="0.45">
      <c r="A122" t="s">
        <v>914</v>
      </c>
      <c r="B122" t="s">
        <v>789</v>
      </c>
      <c r="C122">
        <v>4.3899999999999997</v>
      </c>
      <c r="D122">
        <v>4.3099999999999996</v>
      </c>
      <c r="E122">
        <v>4.37</v>
      </c>
      <c r="F122">
        <v>4.46</v>
      </c>
      <c r="G122">
        <v>4.5</v>
      </c>
      <c r="H122">
        <v>2775</v>
      </c>
    </row>
    <row r="123" spans="1:8" x14ac:dyDescent="0.45">
      <c r="A123" t="s">
        <v>915</v>
      </c>
      <c r="B123" t="s">
        <v>789</v>
      </c>
      <c r="C123">
        <v>4.4000000000000004</v>
      </c>
      <c r="D123">
        <v>4.3</v>
      </c>
      <c r="E123">
        <v>4.38</v>
      </c>
      <c r="F123">
        <v>4.4800000000000004</v>
      </c>
      <c r="G123">
        <v>4.5199999999999996</v>
      </c>
      <c r="H123">
        <v>2802</v>
      </c>
    </row>
    <row r="124" spans="1:8" x14ac:dyDescent="0.45">
      <c r="A124" t="s">
        <v>916</v>
      </c>
      <c r="B124" t="s">
        <v>789</v>
      </c>
      <c r="C124">
        <v>4.3600000000000003</v>
      </c>
      <c r="D124">
        <v>4.3</v>
      </c>
      <c r="E124">
        <v>4.33</v>
      </c>
      <c r="F124">
        <v>4.43</v>
      </c>
      <c r="G124">
        <v>4.46</v>
      </c>
      <c r="H124">
        <v>2772</v>
      </c>
    </row>
    <row r="125" spans="1:8" x14ac:dyDescent="0.45">
      <c r="A125" t="s">
        <v>917</v>
      </c>
      <c r="B125" t="s">
        <v>789</v>
      </c>
      <c r="C125">
        <v>4.3</v>
      </c>
      <c r="D125">
        <v>4.26</v>
      </c>
      <c r="E125">
        <v>4.28</v>
      </c>
      <c r="F125">
        <v>4.3600000000000003</v>
      </c>
      <c r="G125">
        <v>4.4000000000000004</v>
      </c>
      <c r="H125">
        <v>2733</v>
      </c>
    </row>
    <row r="126" spans="1:8" x14ac:dyDescent="0.45">
      <c r="A126" t="s">
        <v>918</v>
      </c>
      <c r="B126" t="s">
        <v>789</v>
      </c>
      <c r="C126">
        <v>4.29</v>
      </c>
      <c r="D126">
        <v>4.25</v>
      </c>
      <c r="E126">
        <v>4.2699999999999996</v>
      </c>
      <c r="F126">
        <v>4.34</v>
      </c>
      <c r="G126">
        <v>4.38</v>
      </c>
      <c r="H126">
        <v>2740</v>
      </c>
    </row>
    <row r="127" spans="1:8" x14ac:dyDescent="0.45">
      <c r="A127" t="s">
        <v>919</v>
      </c>
      <c r="B127" t="s">
        <v>789</v>
      </c>
      <c r="C127">
        <v>4.29</v>
      </c>
      <c r="D127">
        <v>4.25</v>
      </c>
      <c r="E127">
        <v>4.2699999999999996</v>
      </c>
      <c r="F127">
        <v>4.34</v>
      </c>
      <c r="G127">
        <v>4.37</v>
      </c>
      <c r="H127">
        <v>2700</v>
      </c>
    </row>
    <row r="128" spans="1:8" x14ac:dyDescent="0.45">
      <c r="A128" t="s">
        <v>920</v>
      </c>
      <c r="B128" t="s">
        <v>789</v>
      </c>
      <c r="C128">
        <v>4.28</v>
      </c>
      <c r="D128">
        <v>4.25</v>
      </c>
      <c r="E128">
        <v>4.2699999999999996</v>
      </c>
      <c r="F128">
        <v>4.34</v>
      </c>
      <c r="G128">
        <v>4.37</v>
      </c>
      <c r="H128">
        <v>2639</v>
      </c>
    </row>
    <row r="129" spans="1:8" x14ac:dyDescent="0.45">
      <c r="A129" t="s">
        <v>921</v>
      </c>
      <c r="B129" t="s">
        <v>789</v>
      </c>
      <c r="C129">
        <v>4.3099999999999996</v>
      </c>
      <c r="D129">
        <v>4.2699999999999996</v>
      </c>
      <c r="E129">
        <v>4.29</v>
      </c>
      <c r="F129">
        <v>4.3600000000000003</v>
      </c>
      <c r="G129">
        <v>4.3899999999999997</v>
      </c>
      <c r="H129">
        <v>2692</v>
      </c>
    </row>
    <row r="130" spans="1:8" x14ac:dyDescent="0.45">
      <c r="A130" t="s">
        <v>922</v>
      </c>
      <c r="B130" t="s">
        <v>789</v>
      </c>
      <c r="C130">
        <v>4.32</v>
      </c>
      <c r="D130">
        <v>4.28</v>
      </c>
      <c r="E130">
        <v>4.3</v>
      </c>
      <c r="F130">
        <v>4.38</v>
      </c>
      <c r="G130">
        <v>4.41</v>
      </c>
      <c r="H130">
        <v>2697</v>
      </c>
    </row>
    <row r="131" spans="1:8" x14ac:dyDescent="0.45">
      <c r="A131" t="s">
        <v>923</v>
      </c>
      <c r="B131" t="s">
        <v>789</v>
      </c>
      <c r="C131">
        <v>4.28</v>
      </c>
      <c r="D131">
        <v>4.25</v>
      </c>
      <c r="E131">
        <v>4.2699999999999996</v>
      </c>
      <c r="F131">
        <v>4.34</v>
      </c>
      <c r="G131">
        <v>4.38</v>
      </c>
      <c r="H131">
        <v>2644</v>
      </c>
    </row>
    <row r="132" spans="1:8" x14ac:dyDescent="0.45">
      <c r="A132" t="s">
        <v>924</v>
      </c>
      <c r="B132" t="s">
        <v>789</v>
      </c>
      <c r="C132">
        <v>4.28</v>
      </c>
      <c r="D132">
        <v>4.25</v>
      </c>
      <c r="E132">
        <v>4.2699999999999996</v>
      </c>
      <c r="F132">
        <v>4.33</v>
      </c>
      <c r="G132">
        <v>4.38</v>
      </c>
      <c r="H132">
        <v>2663</v>
      </c>
    </row>
    <row r="133" spans="1:8" x14ac:dyDescent="0.45">
      <c r="A133" t="s">
        <v>925</v>
      </c>
      <c r="B133" t="s">
        <v>789</v>
      </c>
      <c r="C133">
        <v>4.28</v>
      </c>
      <c r="D133">
        <v>4.25</v>
      </c>
      <c r="E133">
        <v>4.2699999999999996</v>
      </c>
      <c r="F133">
        <v>4.33</v>
      </c>
      <c r="G133">
        <v>4.37</v>
      </c>
      <c r="H133">
        <v>2600</v>
      </c>
    </row>
    <row r="134" spans="1:8" x14ac:dyDescent="0.45">
      <c r="A134" t="s">
        <v>926</v>
      </c>
      <c r="B134" t="s">
        <v>789</v>
      </c>
      <c r="C134">
        <v>4.28</v>
      </c>
      <c r="D134">
        <v>4.25</v>
      </c>
      <c r="E134">
        <v>4.2699999999999996</v>
      </c>
      <c r="F134">
        <v>4.33</v>
      </c>
      <c r="G134">
        <v>4.37</v>
      </c>
      <c r="H134">
        <v>2634</v>
      </c>
    </row>
    <row r="135" spans="1:8" x14ac:dyDescent="0.45">
      <c r="A135" t="s">
        <v>927</v>
      </c>
      <c r="B135" t="s">
        <v>789</v>
      </c>
      <c r="C135">
        <v>4.29</v>
      </c>
      <c r="D135">
        <v>4.26</v>
      </c>
      <c r="E135">
        <v>4.2699999999999996</v>
      </c>
      <c r="F135">
        <v>4.34</v>
      </c>
      <c r="G135">
        <v>4.38</v>
      </c>
      <c r="H135">
        <v>2643</v>
      </c>
    </row>
    <row r="136" spans="1:8" x14ac:dyDescent="0.45">
      <c r="A136" t="s">
        <v>928</v>
      </c>
      <c r="B136" t="s">
        <v>789</v>
      </c>
      <c r="C136">
        <v>4.29</v>
      </c>
      <c r="D136">
        <v>4.26</v>
      </c>
      <c r="E136">
        <v>4.2699999999999996</v>
      </c>
      <c r="F136">
        <v>4.34</v>
      </c>
      <c r="G136">
        <v>4.38</v>
      </c>
      <c r="H136">
        <v>2667</v>
      </c>
    </row>
    <row r="137" spans="1:8" x14ac:dyDescent="0.45">
      <c r="A137" t="s">
        <v>929</v>
      </c>
      <c r="B137" t="s">
        <v>789</v>
      </c>
      <c r="C137">
        <v>4.29</v>
      </c>
      <c r="D137">
        <v>4.25</v>
      </c>
      <c r="E137">
        <v>4.2699999999999996</v>
      </c>
      <c r="F137">
        <v>4.34</v>
      </c>
      <c r="G137">
        <v>4.37</v>
      </c>
      <c r="H137">
        <v>2685</v>
      </c>
    </row>
    <row r="138" spans="1:8" x14ac:dyDescent="0.45">
      <c r="A138" t="s">
        <v>930</v>
      </c>
      <c r="B138" t="s">
        <v>789</v>
      </c>
      <c r="C138">
        <v>4.28</v>
      </c>
      <c r="D138">
        <v>4.25</v>
      </c>
      <c r="E138">
        <v>4.2699999999999996</v>
      </c>
      <c r="F138">
        <v>4.34</v>
      </c>
      <c r="G138">
        <v>4.37</v>
      </c>
      <c r="H138">
        <v>2625</v>
      </c>
    </row>
    <row r="139" spans="1:8" x14ac:dyDescent="0.45">
      <c r="A139" t="s">
        <v>931</v>
      </c>
      <c r="B139" t="s">
        <v>789</v>
      </c>
      <c r="C139">
        <v>4.32</v>
      </c>
      <c r="D139">
        <v>4.28</v>
      </c>
      <c r="E139">
        <v>4.3</v>
      </c>
      <c r="F139">
        <v>4.37</v>
      </c>
      <c r="G139">
        <v>4.4000000000000004</v>
      </c>
      <c r="H139">
        <v>2711</v>
      </c>
    </row>
    <row r="140" spans="1:8" x14ac:dyDescent="0.45">
      <c r="A140" t="s">
        <v>932</v>
      </c>
      <c r="B140" t="s">
        <v>789</v>
      </c>
      <c r="C140">
        <v>4.3499999999999996</v>
      </c>
      <c r="D140">
        <v>4.29</v>
      </c>
      <c r="E140">
        <v>4.32</v>
      </c>
      <c r="F140">
        <v>4.4000000000000004</v>
      </c>
      <c r="G140">
        <v>4.43</v>
      </c>
      <c r="H140">
        <v>2771</v>
      </c>
    </row>
    <row r="141" spans="1:8" x14ac:dyDescent="0.45">
      <c r="A141" t="s">
        <v>933</v>
      </c>
      <c r="B141" t="s">
        <v>789</v>
      </c>
      <c r="C141">
        <v>4.3499999999999996</v>
      </c>
      <c r="D141">
        <v>4.29</v>
      </c>
      <c r="E141">
        <v>4.34</v>
      </c>
      <c r="F141">
        <v>4.42</v>
      </c>
      <c r="G141">
        <v>4.46</v>
      </c>
      <c r="H141">
        <v>2641</v>
      </c>
    </row>
    <row r="142" spans="1:8" x14ac:dyDescent="0.45">
      <c r="A142" t="s">
        <v>934</v>
      </c>
      <c r="B142" t="s">
        <v>789</v>
      </c>
      <c r="C142">
        <v>4.33</v>
      </c>
      <c r="D142">
        <v>4.28</v>
      </c>
      <c r="E142">
        <v>4.32</v>
      </c>
      <c r="F142">
        <v>4.3899999999999997</v>
      </c>
      <c r="G142">
        <v>4.43</v>
      </c>
      <c r="H142">
        <v>2652</v>
      </c>
    </row>
    <row r="143" spans="1:8" x14ac:dyDescent="0.45">
      <c r="A143" t="s">
        <v>935</v>
      </c>
      <c r="B143" t="s">
        <v>789</v>
      </c>
      <c r="C143">
        <v>4.33</v>
      </c>
      <c r="D143">
        <v>4.29</v>
      </c>
      <c r="E143">
        <v>4.32</v>
      </c>
      <c r="F143">
        <v>4.3899999999999997</v>
      </c>
      <c r="G143">
        <v>4.4400000000000004</v>
      </c>
      <c r="H143">
        <v>2605</v>
      </c>
    </row>
    <row r="144" spans="1:8" x14ac:dyDescent="0.45">
      <c r="A144" t="s">
        <v>936</v>
      </c>
      <c r="B144" t="s">
        <v>789</v>
      </c>
      <c r="C144">
        <v>4.3099999999999996</v>
      </c>
      <c r="D144">
        <v>4.26</v>
      </c>
      <c r="E144">
        <v>4.3</v>
      </c>
      <c r="F144">
        <v>4.38</v>
      </c>
      <c r="G144">
        <v>4.41</v>
      </c>
      <c r="H144">
        <v>2655</v>
      </c>
    </row>
    <row r="145" spans="1:8" x14ac:dyDescent="0.45">
      <c r="A145" t="s">
        <v>937</v>
      </c>
      <c r="B145" t="s">
        <v>789</v>
      </c>
      <c r="C145">
        <v>4.26</v>
      </c>
      <c r="D145">
        <v>4.25</v>
      </c>
      <c r="E145">
        <v>4.26</v>
      </c>
      <c r="F145">
        <v>4.3099999999999996</v>
      </c>
      <c r="G145">
        <v>4.3499999999999996</v>
      </c>
      <c r="H145">
        <v>2542</v>
      </c>
    </row>
    <row r="146" spans="1:8" x14ac:dyDescent="0.45">
      <c r="A146" t="s">
        <v>938</v>
      </c>
      <c r="B146" t="s">
        <v>789</v>
      </c>
      <c r="C146">
        <v>4.26</v>
      </c>
      <c r="D146">
        <v>4.25</v>
      </c>
      <c r="E146">
        <v>4.26</v>
      </c>
      <c r="F146">
        <v>4.29</v>
      </c>
      <c r="G146">
        <v>4.34</v>
      </c>
      <c r="H146">
        <v>2540</v>
      </c>
    </row>
    <row r="147" spans="1:8" x14ac:dyDescent="0.45">
      <c r="A147" t="s">
        <v>939</v>
      </c>
      <c r="B147" t="s">
        <v>789</v>
      </c>
      <c r="C147">
        <v>4.26</v>
      </c>
      <c r="D147">
        <v>4.25</v>
      </c>
      <c r="E147">
        <v>4.26</v>
      </c>
      <c r="F147">
        <v>4.3</v>
      </c>
      <c r="G147">
        <v>4.34</v>
      </c>
      <c r="H147">
        <v>2517</v>
      </c>
    </row>
    <row r="148" spans="1:8" x14ac:dyDescent="0.45">
      <c r="A148" t="s">
        <v>940</v>
      </c>
      <c r="B148" t="s">
        <v>789</v>
      </c>
      <c r="C148">
        <v>4.2699999999999996</v>
      </c>
      <c r="D148">
        <v>4.25</v>
      </c>
      <c r="E148">
        <v>4.26</v>
      </c>
      <c r="F148">
        <v>4.32</v>
      </c>
      <c r="G148">
        <v>4.3600000000000003</v>
      </c>
      <c r="H148">
        <v>2554</v>
      </c>
    </row>
    <row r="149" spans="1:8" x14ac:dyDescent="0.45">
      <c r="A149" t="s">
        <v>941</v>
      </c>
      <c r="B149" t="s">
        <v>789</v>
      </c>
      <c r="C149">
        <v>4.29</v>
      </c>
      <c r="D149">
        <v>4.25</v>
      </c>
      <c r="E149">
        <v>4.28</v>
      </c>
      <c r="F149">
        <v>4.34</v>
      </c>
      <c r="G149">
        <v>4.38</v>
      </c>
      <c r="H149">
        <v>2570</v>
      </c>
    </row>
    <row r="150" spans="1:8" x14ac:dyDescent="0.45">
      <c r="A150" t="s">
        <v>942</v>
      </c>
      <c r="B150" t="s">
        <v>789</v>
      </c>
      <c r="C150">
        <v>4.3</v>
      </c>
      <c r="D150">
        <v>4.2699999999999996</v>
      </c>
      <c r="E150">
        <v>4.29</v>
      </c>
      <c r="F150">
        <v>4.3600000000000003</v>
      </c>
      <c r="G150">
        <v>4.4000000000000004</v>
      </c>
      <c r="H150">
        <v>2617</v>
      </c>
    </row>
    <row r="151" spans="1:8" x14ac:dyDescent="0.45">
      <c r="A151" t="s">
        <v>943</v>
      </c>
      <c r="B151" t="s">
        <v>789</v>
      </c>
      <c r="C151">
        <v>4.3099999999999996</v>
      </c>
      <c r="D151">
        <v>4.2699999999999996</v>
      </c>
      <c r="E151">
        <v>4.3</v>
      </c>
      <c r="F151">
        <v>4.38</v>
      </c>
      <c r="G151">
        <v>4.42</v>
      </c>
      <c r="H151">
        <v>2686</v>
      </c>
    </row>
    <row r="152" spans="1:8" x14ac:dyDescent="0.45">
      <c r="A152" t="s">
        <v>944</v>
      </c>
      <c r="B152" t="s">
        <v>789</v>
      </c>
      <c r="C152">
        <v>4.29</v>
      </c>
      <c r="D152">
        <v>4.26</v>
      </c>
      <c r="E152">
        <v>4.28</v>
      </c>
      <c r="F152">
        <v>4.34</v>
      </c>
      <c r="G152">
        <v>4.3899999999999997</v>
      </c>
      <c r="H152">
        <v>2543</v>
      </c>
    </row>
    <row r="153" spans="1:8" x14ac:dyDescent="0.45">
      <c r="A153" t="s">
        <v>945</v>
      </c>
      <c r="B153" t="s">
        <v>789</v>
      </c>
      <c r="C153">
        <v>4.3</v>
      </c>
      <c r="D153">
        <v>4.2699999999999996</v>
      </c>
      <c r="E153">
        <v>4.29</v>
      </c>
      <c r="F153">
        <v>4.3600000000000003</v>
      </c>
      <c r="G153">
        <v>4.41</v>
      </c>
      <c r="H153">
        <v>2565</v>
      </c>
    </row>
    <row r="154" spans="1:8" x14ac:dyDescent="0.45">
      <c r="A154" t="s">
        <v>946</v>
      </c>
      <c r="B154" t="s">
        <v>789</v>
      </c>
      <c r="C154">
        <v>4.28</v>
      </c>
      <c r="D154">
        <v>4.25</v>
      </c>
      <c r="E154">
        <v>4.2699999999999996</v>
      </c>
      <c r="F154">
        <v>4.34</v>
      </c>
      <c r="G154">
        <v>4.38</v>
      </c>
      <c r="H154">
        <v>2535</v>
      </c>
    </row>
    <row r="155" spans="1:8" x14ac:dyDescent="0.45">
      <c r="A155" t="s">
        <v>947</v>
      </c>
      <c r="B155" t="s">
        <v>789</v>
      </c>
      <c r="C155">
        <v>4.28</v>
      </c>
      <c r="D155">
        <v>4.25</v>
      </c>
      <c r="E155">
        <v>4.2699999999999996</v>
      </c>
      <c r="F155">
        <v>4.33</v>
      </c>
      <c r="G155">
        <v>4.38</v>
      </c>
      <c r="H155">
        <v>2479</v>
      </c>
    </row>
    <row r="156" spans="1:8" x14ac:dyDescent="0.45">
      <c r="A156" t="s">
        <v>948</v>
      </c>
      <c r="B156" t="s">
        <v>789</v>
      </c>
      <c r="C156">
        <v>4.29</v>
      </c>
      <c r="D156">
        <v>4.26</v>
      </c>
      <c r="E156">
        <v>4.28</v>
      </c>
      <c r="F156">
        <v>4.34</v>
      </c>
      <c r="G156">
        <v>4.3899999999999997</v>
      </c>
      <c r="H156">
        <v>2545</v>
      </c>
    </row>
    <row r="157" spans="1:8" x14ac:dyDescent="0.45">
      <c r="A157" t="s">
        <v>949</v>
      </c>
      <c r="B157" t="s">
        <v>789</v>
      </c>
      <c r="C157">
        <v>4.3</v>
      </c>
      <c r="D157">
        <v>4.26</v>
      </c>
      <c r="E157">
        <v>4.29</v>
      </c>
      <c r="F157">
        <v>4.3600000000000003</v>
      </c>
      <c r="G157">
        <v>4.4000000000000004</v>
      </c>
      <c r="H157">
        <v>2535</v>
      </c>
    </row>
    <row r="158" spans="1:8" x14ac:dyDescent="0.45">
      <c r="A158" t="s">
        <v>950</v>
      </c>
      <c r="B158" t="s">
        <v>789</v>
      </c>
      <c r="C158">
        <v>4.32</v>
      </c>
      <c r="D158">
        <v>4.28</v>
      </c>
      <c r="E158">
        <v>4.3099999999999996</v>
      </c>
      <c r="F158">
        <v>4.38</v>
      </c>
      <c r="G158">
        <v>4.42</v>
      </c>
      <c r="H158">
        <v>2620</v>
      </c>
    </row>
    <row r="159" spans="1:8" x14ac:dyDescent="0.45">
      <c r="A159" t="s">
        <v>951</v>
      </c>
      <c r="B159" t="s">
        <v>789</v>
      </c>
      <c r="C159">
        <v>4.33</v>
      </c>
      <c r="D159">
        <v>4.29</v>
      </c>
      <c r="E159">
        <v>4.3099999999999996</v>
      </c>
      <c r="F159">
        <v>4.38</v>
      </c>
      <c r="G159">
        <v>4.42</v>
      </c>
      <c r="H159">
        <v>2632</v>
      </c>
    </row>
    <row r="160" spans="1:8" x14ac:dyDescent="0.45">
      <c r="A160" t="s">
        <v>952</v>
      </c>
      <c r="B160" t="s">
        <v>789</v>
      </c>
      <c r="C160">
        <v>4.3600000000000003</v>
      </c>
      <c r="D160">
        <v>4.3</v>
      </c>
      <c r="E160">
        <v>4.33</v>
      </c>
      <c r="F160">
        <v>4.42</v>
      </c>
      <c r="G160">
        <v>4.46</v>
      </c>
      <c r="H160">
        <v>2694</v>
      </c>
    </row>
    <row r="161" spans="1:8" x14ac:dyDescent="0.45">
      <c r="A161" t="s">
        <v>953</v>
      </c>
      <c r="B161" t="s">
        <v>789</v>
      </c>
      <c r="C161">
        <v>4.3899999999999997</v>
      </c>
      <c r="D161">
        <v>4.3099999999999996</v>
      </c>
      <c r="E161">
        <v>4.3499999999999996</v>
      </c>
      <c r="F161">
        <v>4.45</v>
      </c>
      <c r="G161">
        <v>4.4800000000000004</v>
      </c>
      <c r="H161">
        <v>2789</v>
      </c>
    </row>
    <row r="162" spans="1:8" x14ac:dyDescent="0.45">
      <c r="A162" t="s">
        <v>954</v>
      </c>
      <c r="B162" t="s">
        <v>789</v>
      </c>
      <c r="C162">
        <v>4.41</v>
      </c>
      <c r="D162">
        <v>4.33</v>
      </c>
      <c r="E162">
        <v>4.37</v>
      </c>
      <c r="F162">
        <v>4.4800000000000004</v>
      </c>
      <c r="G162">
        <v>4.5199999999999996</v>
      </c>
      <c r="H162">
        <v>2830</v>
      </c>
    </row>
    <row r="163" spans="1:8" x14ac:dyDescent="0.45">
      <c r="A163" t="s">
        <v>955</v>
      </c>
      <c r="B163" t="s">
        <v>789</v>
      </c>
      <c r="C163">
        <v>4.3600000000000003</v>
      </c>
      <c r="D163">
        <v>4.3</v>
      </c>
      <c r="E163">
        <v>4.3499999999999996</v>
      </c>
      <c r="F163">
        <v>4.4400000000000004</v>
      </c>
      <c r="G163">
        <v>4.49</v>
      </c>
      <c r="H163">
        <v>2623</v>
      </c>
    </row>
    <row r="164" spans="1:8" x14ac:dyDescent="0.45">
      <c r="A164" t="s">
        <v>956</v>
      </c>
      <c r="B164" t="s">
        <v>789</v>
      </c>
      <c r="C164">
        <v>4.3600000000000003</v>
      </c>
      <c r="D164">
        <v>4.3</v>
      </c>
      <c r="E164">
        <v>4.3499999999999996</v>
      </c>
      <c r="F164">
        <v>4.43</v>
      </c>
      <c r="G164">
        <v>4.4800000000000004</v>
      </c>
      <c r="H164">
        <v>2567</v>
      </c>
    </row>
    <row r="165" spans="1:8" x14ac:dyDescent="0.45">
      <c r="A165" t="s">
        <v>957</v>
      </c>
      <c r="B165" t="s">
        <v>789</v>
      </c>
      <c r="C165">
        <v>4.33</v>
      </c>
      <c r="D165">
        <v>4.28</v>
      </c>
      <c r="E165">
        <v>4.32</v>
      </c>
      <c r="F165">
        <v>4.3899999999999997</v>
      </c>
      <c r="G165">
        <v>4.4400000000000004</v>
      </c>
      <c r="H165">
        <v>2565</v>
      </c>
    </row>
    <row r="166" spans="1:8" x14ac:dyDescent="0.45">
      <c r="A166" t="s">
        <v>958</v>
      </c>
      <c r="B166" t="s">
        <v>789</v>
      </c>
      <c r="C166">
        <v>4.29</v>
      </c>
      <c r="D166">
        <v>4.25</v>
      </c>
      <c r="E166">
        <v>4.28</v>
      </c>
      <c r="F166">
        <v>4.34</v>
      </c>
      <c r="G166">
        <v>4.38</v>
      </c>
      <c r="H166">
        <v>2542</v>
      </c>
    </row>
    <row r="167" spans="1:8" x14ac:dyDescent="0.45">
      <c r="A167" t="s">
        <v>959</v>
      </c>
      <c r="B167" t="s">
        <v>789</v>
      </c>
      <c r="C167">
        <v>4.28</v>
      </c>
      <c r="D167">
        <v>4.25</v>
      </c>
      <c r="E167">
        <v>4.2699999999999996</v>
      </c>
      <c r="F167">
        <v>4.33</v>
      </c>
      <c r="G167">
        <v>4.37</v>
      </c>
      <c r="H167">
        <v>2475</v>
      </c>
    </row>
    <row r="168" spans="1:8" x14ac:dyDescent="0.45">
      <c r="A168" t="s">
        <v>960</v>
      </c>
      <c r="B168" t="s">
        <v>789</v>
      </c>
      <c r="C168">
        <v>4.3</v>
      </c>
      <c r="D168">
        <v>4.2699999999999996</v>
      </c>
      <c r="E168">
        <v>4.29</v>
      </c>
      <c r="F168">
        <v>4.3600000000000003</v>
      </c>
      <c r="G168">
        <v>4.4000000000000004</v>
      </c>
      <c r="H168">
        <v>2527</v>
      </c>
    </row>
    <row r="169" spans="1:8" x14ac:dyDescent="0.45">
      <c r="A169" t="s">
        <v>961</v>
      </c>
      <c r="B169" t="s">
        <v>789</v>
      </c>
      <c r="C169">
        <v>4.32</v>
      </c>
      <c r="D169">
        <v>4.28</v>
      </c>
      <c r="E169">
        <v>4.32</v>
      </c>
      <c r="F169">
        <v>4.38</v>
      </c>
      <c r="G169">
        <v>4.42</v>
      </c>
      <c r="H169">
        <v>2469</v>
      </c>
    </row>
    <row r="170" spans="1:8" x14ac:dyDescent="0.45">
      <c r="A170" t="s">
        <v>962</v>
      </c>
      <c r="B170" t="s">
        <v>789</v>
      </c>
      <c r="C170">
        <v>4.32</v>
      </c>
      <c r="D170">
        <v>4.29</v>
      </c>
      <c r="E170">
        <v>4.3099999999999996</v>
      </c>
      <c r="F170">
        <v>4.38</v>
      </c>
      <c r="G170">
        <v>4.42</v>
      </c>
      <c r="H170">
        <v>2505</v>
      </c>
    </row>
    <row r="171" spans="1:8" x14ac:dyDescent="0.45">
      <c r="A171" t="s">
        <v>963</v>
      </c>
      <c r="B171" t="s">
        <v>789</v>
      </c>
      <c r="C171">
        <v>4.3099999999999996</v>
      </c>
      <c r="D171">
        <v>4.28</v>
      </c>
      <c r="E171">
        <v>4.3</v>
      </c>
      <c r="F171">
        <v>4.37</v>
      </c>
      <c r="G171">
        <v>4.41</v>
      </c>
      <c r="H171">
        <v>2513</v>
      </c>
    </row>
    <row r="172" spans="1:8" x14ac:dyDescent="0.45">
      <c r="A172" t="s">
        <v>964</v>
      </c>
      <c r="B172" t="s">
        <v>789</v>
      </c>
      <c r="C172">
        <v>4.3600000000000003</v>
      </c>
      <c r="D172">
        <v>4.3</v>
      </c>
      <c r="E172">
        <v>4.3499999999999996</v>
      </c>
      <c r="F172">
        <v>4.4400000000000004</v>
      </c>
      <c r="G172">
        <v>4.4800000000000004</v>
      </c>
      <c r="H172">
        <v>2526</v>
      </c>
    </row>
    <row r="173" spans="1:8" x14ac:dyDescent="0.45">
      <c r="A173" t="s">
        <v>965</v>
      </c>
      <c r="B173" t="s">
        <v>789</v>
      </c>
      <c r="C173">
        <v>4.33</v>
      </c>
      <c r="D173">
        <v>4.26</v>
      </c>
      <c r="E173">
        <v>4.33</v>
      </c>
      <c r="F173">
        <v>4.3899999999999997</v>
      </c>
      <c r="G173">
        <v>4.4400000000000004</v>
      </c>
      <c r="H173">
        <v>2561</v>
      </c>
    </row>
    <row r="174" spans="1:8" x14ac:dyDescent="0.45">
      <c r="A174" t="s">
        <v>966</v>
      </c>
      <c r="B174" t="s">
        <v>789</v>
      </c>
      <c r="C174">
        <v>4.33</v>
      </c>
      <c r="D174">
        <v>4.28</v>
      </c>
      <c r="E174">
        <v>4.32</v>
      </c>
      <c r="F174">
        <v>4.38</v>
      </c>
      <c r="G174">
        <v>4.4400000000000004</v>
      </c>
      <c r="H174">
        <v>2584</v>
      </c>
    </row>
    <row r="175" spans="1:8" x14ac:dyDescent="0.45">
      <c r="A175" t="s">
        <v>967</v>
      </c>
      <c r="B175" t="s">
        <v>789</v>
      </c>
      <c r="C175">
        <v>4.37</v>
      </c>
      <c r="D175">
        <v>4.28</v>
      </c>
      <c r="E175">
        <v>4.3600000000000003</v>
      </c>
      <c r="F175">
        <v>4.43</v>
      </c>
      <c r="G175">
        <v>4.49</v>
      </c>
      <c r="H175">
        <v>2657</v>
      </c>
    </row>
    <row r="176" spans="1:8" x14ac:dyDescent="0.45">
      <c r="A176" t="s">
        <v>968</v>
      </c>
      <c r="B176" t="s">
        <v>789</v>
      </c>
      <c r="C176">
        <v>4.42</v>
      </c>
      <c r="D176">
        <v>4.32</v>
      </c>
      <c r="E176">
        <v>4.4000000000000004</v>
      </c>
      <c r="F176">
        <v>4.5</v>
      </c>
      <c r="G176">
        <v>4.58</v>
      </c>
      <c r="H176">
        <v>2663</v>
      </c>
    </row>
    <row r="177" spans="1:8" x14ac:dyDescent="0.45">
      <c r="A177" t="s">
        <v>969</v>
      </c>
      <c r="B177" t="s">
        <v>789</v>
      </c>
      <c r="C177">
        <v>4.4000000000000004</v>
      </c>
      <c r="D177">
        <v>4.3099999999999996</v>
      </c>
      <c r="E177">
        <v>4.38</v>
      </c>
      <c r="F177">
        <v>4.47</v>
      </c>
      <c r="G177">
        <v>4.51</v>
      </c>
      <c r="H177">
        <v>2658</v>
      </c>
    </row>
    <row r="178" spans="1:8" x14ac:dyDescent="0.45">
      <c r="A178" t="s">
        <v>970</v>
      </c>
      <c r="B178" t="s">
        <v>789</v>
      </c>
      <c r="C178">
        <v>4.33</v>
      </c>
      <c r="D178">
        <v>4.28</v>
      </c>
      <c r="E178">
        <v>4.3099999999999996</v>
      </c>
      <c r="F178">
        <v>4.38</v>
      </c>
      <c r="G178">
        <v>4.45</v>
      </c>
      <c r="H178">
        <v>2630</v>
      </c>
    </row>
    <row r="179" spans="1:8" x14ac:dyDescent="0.45">
      <c r="A179" t="s">
        <v>971</v>
      </c>
      <c r="B179" t="s">
        <v>789</v>
      </c>
      <c r="C179">
        <v>4.3499999999999996</v>
      </c>
      <c r="D179">
        <v>4.29</v>
      </c>
      <c r="E179">
        <v>4.33</v>
      </c>
      <c r="F179">
        <v>4.41</v>
      </c>
      <c r="G179">
        <v>4.4400000000000004</v>
      </c>
      <c r="H179">
        <v>2587</v>
      </c>
    </row>
    <row r="180" spans="1:8" x14ac:dyDescent="0.45">
      <c r="A180" t="s">
        <v>972</v>
      </c>
      <c r="B180" t="s">
        <v>789</v>
      </c>
      <c r="C180">
        <v>4.3899999999999997</v>
      </c>
      <c r="D180">
        <v>4.3099999999999996</v>
      </c>
      <c r="E180">
        <v>4.37</v>
      </c>
      <c r="F180">
        <v>4.46</v>
      </c>
      <c r="G180">
        <v>4.5</v>
      </c>
      <c r="H180">
        <v>2577</v>
      </c>
    </row>
    <row r="181" spans="1:8" x14ac:dyDescent="0.45">
      <c r="A181" t="s">
        <v>973</v>
      </c>
      <c r="B181" t="s">
        <v>789</v>
      </c>
      <c r="C181">
        <v>4.37</v>
      </c>
      <c r="D181">
        <v>4.3099999999999996</v>
      </c>
      <c r="E181">
        <v>4.34</v>
      </c>
      <c r="F181">
        <v>4.43</v>
      </c>
      <c r="G181">
        <v>4.45</v>
      </c>
      <c r="H181">
        <v>2555</v>
      </c>
    </row>
    <row r="182" spans="1:8" x14ac:dyDescent="0.45">
      <c r="A182" t="s">
        <v>974</v>
      </c>
      <c r="B182" t="s">
        <v>789</v>
      </c>
      <c r="C182">
        <v>4.3899999999999997</v>
      </c>
      <c r="D182">
        <v>4.3</v>
      </c>
      <c r="E182">
        <v>4.3499999999999996</v>
      </c>
      <c r="F182">
        <v>4.4400000000000004</v>
      </c>
      <c r="G182">
        <v>4.47</v>
      </c>
      <c r="H182">
        <v>2589</v>
      </c>
    </row>
    <row r="183" spans="1:8" x14ac:dyDescent="0.45">
      <c r="A183" t="s">
        <v>975</v>
      </c>
      <c r="B183" t="s">
        <v>789</v>
      </c>
      <c r="C183">
        <v>4.41</v>
      </c>
      <c r="D183">
        <v>4.34</v>
      </c>
      <c r="E183">
        <v>4.37</v>
      </c>
      <c r="F183">
        <v>4.47</v>
      </c>
      <c r="G183">
        <v>4.57</v>
      </c>
      <c r="H183">
        <v>2636</v>
      </c>
    </row>
    <row r="184" spans="1:8" x14ac:dyDescent="0.45">
      <c r="A184" t="s">
        <v>976</v>
      </c>
      <c r="B184" t="s">
        <v>789</v>
      </c>
      <c r="C184">
        <v>4.34</v>
      </c>
      <c r="D184">
        <v>4.28</v>
      </c>
      <c r="E184">
        <v>4.33</v>
      </c>
      <c r="F184">
        <v>4.4000000000000004</v>
      </c>
      <c r="G184">
        <v>4.4400000000000004</v>
      </c>
      <c r="H184">
        <v>2440</v>
      </c>
    </row>
    <row r="185" spans="1:8" x14ac:dyDescent="0.45">
      <c r="A185" t="s">
        <v>977</v>
      </c>
      <c r="B185" t="s">
        <v>789</v>
      </c>
      <c r="C185">
        <v>4.3600000000000003</v>
      </c>
      <c r="D185">
        <v>4.3</v>
      </c>
      <c r="E185">
        <v>4.34</v>
      </c>
      <c r="F185">
        <v>4.41</v>
      </c>
      <c r="G185">
        <v>4.46</v>
      </c>
      <c r="H185">
        <v>2468</v>
      </c>
    </row>
    <row r="186" spans="1:8" x14ac:dyDescent="0.45">
      <c r="A186" t="s">
        <v>978</v>
      </c>
      <c r="B186" t="s">
        <v>789</v>
      </c>
      <c r="C186">
        <v>4.3499999999999996</v>
      </c>
      <c r="D186">
        <v>4.3099999999999996</v>
      </c>
      <c r="E186">
        <v>4.34</v>
      </c>
      <c r="F186">
        <v>4.42</v>
      </c>
      <c r="G186">
        <v>4.47</v>
      </c>
      <c r="H186">
        <v>2472</v>
      </c>
    </row>
    <row r="187" spans="1:8" x14ac:dyDescent="0.45">
      <c r="A187" t="s">
        <v>979</v>
      </c>
      <c r="B187" t="s">
        <v>789</v>
      </c>
      <c r="C187">
        <v>4.33</v>
      </c>
      <c r="D187">
        <v>4.28</v>
      </c>
      <c r="E187">
        <v>4.3099999999999996</v>
      </c>
      <c r="F187">
        <v>4.3899999999999997</v>
      </c>
      <c r="G187">
        <v>4.42</v>
      </c>
      <c r="H187">
        <v>2460</v>
      </c>
    </row>
    <row r="188" spans="1:8" x14ac:dyDescent="0.45">
      <c r="A188" t="s">
        <v>980</v>
      </c>
      <c r="B188" t="s">
        <v>789</v>
      </c>
      <c r="C188">
        <v>4.3099999999999996</v>
      </c>
      <c r="D188">
        <v>4.26</v>
      </c>
      <c r="E188">
        <v>4.3</v>
      </c>
      <c r="F188">
        <v>4.3499999999999996</v>
      </c>
      <c r="G188">
        <v>4.4000000000000004</v>
      </c>
      <c r="H188">
        <v>2457</v>
      </c>
    </row>
    <row r="189" spans="1:8" x14ac:dyDescent="0.45">
      <c r="A189" t="s">
        <v>981</v>
      </c>
      <c r="B189" t="s">
        <v>789</v>
      </c>
      <c r="C189">
        <v>4.3</v>
      </c>
      <c r="D189">
        <v>4.26</v>
      </c>
      <c r="E189">
        <v>4.29</v>
      </c>
      <c r="F189">
        <v>4.3499999999999996</v>
      </c>
      <c r="G189">
        <v>4.3899999999999997</v>
      </c>
      <c r="H189">
        <v>2444</v>
      </c>
    </row>
    <row r="190" spans="1:8" x14ac:dyDescent="0.45">
      <c r="A190" t="s">
        <v>982</v>
      </c>
      <c r="B190" t="s">
        <v>789</v>
      </c>
      <c r="C190">
        <v>4.29</v>
      </c>
      <c r="D190">
        <v>4.25</v>
      </c>
      <c r="E190">
        <v>4.28</v>
      </c>
      <c r="F190">
        <v>4.34</v>
      </c>
      <c r="G190">
        <v>4.37</v>
      </c>
      <c r="H190">
        <v>2438</v>
      </c>
    </row>
    <row r="191" spans="1:8" x14ac:dyDescent="0.45">
      <c r="A191" t="s">
        <v>983</v>
      </c>
      <c r="B191" t="s">
        <v>789</v>
      </c>
      <c r="C191">
        <v>4.29</v>
      </c>
      <c r="D191">
        <v>4.26</v>
      </c>
      <c r="E191">
        <v>4.28</v>
      </c>
      <c r="F191">
        <v>4.34</v>
      </c>
      <c r="G191">
        <v>4.38</v>
      </c>
      <c r="H191">
        <v>2376</v>
      </c>
    </row>
    <row r="192" spans="1:8" x14ac:dyDescent="0.45">
      <c r="A192" t="s">
        <v>984</v>
      </c>
      <c r="B192" t="s">
        <v>789</v>
      </c>
      <c r="C192">
        <v>4.3099999999999996</v>
      </c>
      <c r="D192">
        <v>4.2699999999999996</v>
      </c>
      <c r="E192">
        <v>4.3</v>
      </c>
      <c r="F192">
        <v>4.37</v>
      </c>
      <c r="G192">
        <v>4.4000000000000004</v>
      </c>
      <c r="H192">
        <v>2465</v>
      </c>
    </row>
    <row r="193" spans="1:8" x14ac:dyDescent="0.45">
      <c r="A193" t="s">
        <v>985</v>
      </c>
      <c r="B193" t="s">
        <v>789</v>
      </c>
      <c r="C193">
        <v>4.32</v>
      </c>
      <c r="D193">
        <v>4.29</v>
      </c>
      <c r="E193">
        <v>4.3099999999999996</v>
      </c>
      <c r="F193">
        <v>4.3899999999999997</v>
      </c>
      <c r="G193">
        <v>4.4400000000000004</v>
      </c>
      <c r="H193">
        <v>2473</v>
      </c>
    </row>
    <row r="194" spans="1:8" x14ac:dyDescent="0.45">
      <c r="A194" t="s">
        <v>986</v>
      </c>
      <c r="B194" t="s">
        <v>789</v>
      </c>
      <c r="C194">
        <v>4.3</v>
      </c>
      <c r="D194">
        <v>4.2699999999999996</v>
      </c>
      <c r="E194">
        <v>4.29</v>
      </c>
      <c r="F194">
        <v>4.3499999999999996</v>
      </c>
      <c r="G194">
        <v>4.3899999999999997</v>
      </c>
      <c r="H194">
        <v>2441</v>
      </c>
    </row>
    <row r="195" spans="1:8" x14ac:dyDescent="0.45">
      <c r="A195" t="s">
        <v>987</v>
      </c>
      <c r="B195" t="s">
        <v>789</v>
      </c>
      <c r="C195">
        <v>4.3</v>
      </c>
      <c r="D195">
        <v>4.26</v>
      </c>
      <c r="E195">
        <v>4.29</v>
      </c>
      <c r="F195">
        <v>4.3499999999999996</v>
      </c>
      <c r="G195">
        <v>4.38</v>
      </c>
      <c r="H195">
        <v>2462</v>
      </c>
    </row>
    <row r="196" spans="1:8" x14ac:dyDescent="0.45">
      <c r="A196" t="s">
        <v>988</v>
      </c>
      <c r="B196" t="s">
        <v>789</v>
      </c>
      <c r="C196">
        <v>4.3099999999999996</v>
      </c>
      <c r="D196">
        <v>4.2699999999999996</v>
      </c>
      <c r="E196">
        <v>4.3</v>
      </c>
      <c r="F196">
        <v>4.3600000000000003</v>
      </c>
      <c r="G196">
        <v>4.4000000000000004</v>
      </c>
      <c r="H196">
        <v>2489</v>
      </c>
    </row>
    <row r="197" spans="1:8" x14ac:dyDescent="0.45">
      <c r="A197" t="s">
        <v>989</v>
      </c>
      <c r="B197" t="s">
        <v>789</v>
      </c>
      <c r="C197">
        <v>4.32</v>
      </c>
      <c r="D197">
        <v>4.28</v>
      </c>
      <c r="E197">
        <v>4.3099999999999996</v>
      </c>
      <c r="F197">
        <v>4.37</v>
      </c>
      <c r="G197">
        <v>4.41</v>
      </c>
      <c r="H197">
        <v>2502</v>
      </c>
    </row>
    <row r="198" spans="1:8" x14ac:dyDescent="0.45">
      <c r="A198" t="s">
        <v>990</v>
      </c>
      <c r="B198" t="s">
        <v>789</v>
      </c>
      <c r="C198">
        <v>4.33</v>
      </c>
      <c r="D198">
        <v>4.28</v>
      </c>
      <c r="E198">
        <v>4.32</v>
      </c>
      <c r="F198">
        <v>4.38</v>
      </c>
      <c r="G198">
        <v>4.42</v>
      </c>
      <c r="H198">
        <v>2505</v>
      </c>
    </row>
    <row r="199" spans="1:8" x14ac:dyDescent="0.45">
      <c r="A199" t="s">
        <v>991</v>
      </c>
      <c r="B199" t="s">
        <v>789</v>
      </c>
      <c r="C199">
        <v>4.34</v>
      </c>
      <c r="D199">
        <v>4.29</v>
      </c>
      <c r="E199">
        <v>4.33</v>
      </c>
      <c r="F199">
        <v>4.4000000000000004</v>
      </c>
      <c r="G199">
        <v>4.4400000000000004</v>
      </c>
      <c r="H199">
        <v>2477</v>
      </c>
    </row>
    <row r="200" spans="1:8" x14ac:dyDescent="0.45">
      <c r="A200" t="s">
        <v>992</v>
      </c>
      <c r="B200" t="s">
        <v>789</v>
      </c>
      <c r="C200">
        <v>4.3499999999999996</v>
      </c>
      <c r="D200">
        <v>4.29</v>
      </c>
      <c r="E200">
        <v>4.34</v>
      </c>
      <c r="F200">
        <v>4.4000000000000004</v>
      </c>
      <c r="G200">
        <v>4.45</v>
      </c>
      <c r="H200">
        <v>2558</v>
      </c>
    </row>
    <row r="201" spans="1:8" x14ac:dyDescent="0.45">
      <c r="A201" t="s">
        <v>993</v>
      </c>
      <c r="B201" t="s">
        <v>789</v>
      </c>
      <c r="C201">
        <v>4.34</v>
      </c>
      <c r="D201">
        <v>4.3</v>
      </c>
      <c r="E201">
        <v>4.33</v>
      </c>
      <c r="F201">
        <v>4.3899999999999997</v>
      </c>
      <c r="G201">
        <v>4.43</v>
      </c>
      <c r="H201">
        <v>2525</v>
      </c>
    </row>
    <row r="202" spans="1:8" x14ac:dyDescent="0.45">
      <c r="A202" t="s">
        <v>994</v>
      </c>
      <c r="B202" t="s">
        <v>789</v>
      </c>
      <c r="C202">
        <v>4.33</v>
      </c>
      <c r="D202">
        <v>4.29</v>
      </c>
      <c r="E202">
        <v>4.32</v>
      </c>
      <c r="F202">
        <v>4.3899999999999997</v>
      </c>
      <c r="G202">
        <v>4.4400000000000004</v>
      </c>
      <c r="H202">
        <v>2562</v>
      </c>
    </row>
    <row r="203" spans="1:8" x14ac:dyDescent="0.45">
      <c r="A203" t="s">
        <v>995</v>
      </c>
      <c r="B203" t="s">
        <v>789</v>
      </c>
      <c r="C203">
        <v>4.33</v>
      </c>
      <c r="D203">
        <v>4.29</v>
      </c>
      <c r="E203">
        <v>4.3099999999999996</v>
      </c>
      <c r="F203">
        <v>4.3899999999999997</v>
      </c>
      <c r="G203">
        <v>4.42</v>
      </c>
      <c r="H203">
        <v>2636</v>
      </c>
    </row>
    <row r="204" spans="1:8" x14ac:dyDescent="0.45">
      <c r="A204" t="s">
        <v>996</v>
      </c>
      <c r="B204" t="s">
        <v>789</v>
      </c>
      <c r="C204">
        <v>4.3899999999999997</v>
      </c>
      <c r="D204">
        <v>4.3</v>
      </c>
      <c r="E204">
        <v>4.3600000000000003</v>
      </c>
      <c r="F204">
        <v>4.46</v>
      </c>
      <c r="G204">
        <v>4.49</v>
      </c>
      <c r="H204">
        <v>2684</v>
      </c>
    </row>
    <row r="205" spans="1:8" x14ac:dyDescent="0.45">
      <c r="A205" t="s">
        <v>997</v>
      </c>
      <c r="B205" t="s">
        <v>789</v>
      </c>
      <c r="C205">
        <v>4.3600000000000003</v>
      </c>
      <c r="D205">
        <v>4.29</v>
      </c>
      <c r="E205">
        <v>4.34</v>
      </c>
      <c r="F205">
        <v>4.41</v>
      </c>
      <c r="G205">
        <v>4.45</v>
      </c>
      <c r="H205">
        <v>2557</v>
      </c>
    </row>
    <row r="206" spans="1:8" x14ac:dyDescent="0.45">
      <c r="A206" t="s">
        <v>998</v>
      </c>
      <c r="B206" t="s">
        <v>789</v>
      </c>
      <c r="C206">
        <v>4.33</v>
      </c>
      <c r="D206">
        <v>4.28</v>
      </c>
      <c r="E206">
        <v>4.32</v>
      </c>
      <c r="F206">
        <v>4.3899999999999997</v>
      </c>
      <c r="G206">
        <v>4.42</v>
      </c>
      <c r="H206">
        <v>2487</v>
      </c>
    </row>
    <row r="207" spans="1:8" x14ac:dyDescent="0.45">
      <c r="A207" t="s">
        <v>999</v>
      </c>
      <c r="B207" t="s">
        <v>789</v>
      </c>
      <c r="C207">
        <v>4.33</v>
      </c>
      <c r="D207">
        <v>4.2699999999999996</v>
      </c>
      <c r="E207">
        <v>4.3099999999999996</v>
      </c>
      <c r="F207">
        <v>4.38</v>
      </c>
      <c r="G207">
        <v>4.42</v>
      </c>
      <c r="H207">
        <v>2467</v>
      </c>
    </row>
    <row r="208" spans="1:8" x14ac:dyDescent="0.45">
      <c r="A208" t="s">
        <v>1000</v>
      </c>
      <c r="B208" t="s">
        <v>789</v>
      </c>
      <c r="C208">
        <v>4.34</v>
      </c>
      <c r="D208">
        <v>4.29</v>
      </c>
      <c r="E208">
        <v>4.32</v>
      </c>
      <c r="F208">
        <v>4.3899999999999997</v>
      </c>
      <c r="G208">
        <v>4.43</v>
      </c>
      <c r="H208">
        <v>2425</v>
      </c>
    </row>
    <row r="209" spans="1:8" x14ac:dyDescent="0.45">
      <c r="A209" t="s">
        <v>1001</v>
      </c>
      <c r="B209" t="s">
        <v>789</v>
      </c>
      <c r="C209">
        <v>4.34</v>
      </c>
      <c r="D209">
        <v>4.28</v>
      </c>
      <c r="E209">
        <v>4.32</v>
      </c>
      <c r="F209">
        <v>4.3899999999999997</v>
      </c>
      <c r="G209">
        <v>4.42</v>
      </c>
      <c r="H209">
        <v>2400</v>
      </c>
    </row>
    <row r="210" spans="1:8" x14ac:dyDescent="0.45">
      <c r="A210" t="s">
        <v>1002</v>
      </c>
      <c r="B210" t="s">
        <v>789</v>
      </c>
      <c r="C210">
        <v>4.33</v>
      </c>
      <c r="D210">
        <v>4.28</v>
      </c>
      <c r="E210">
        <v>4.3099999999999996</v>
      </c>
      <c r="F210">
        <v>4.3899999999999997</v>
      </c>
      <c r="G210">
        <v>4.42</v>
      </c>
      <c r="H210">
        <v>2403</v>
      </c>
    </row>
    <row r="211" spans="1:8" x14ac:dyDescent="0.45">
      <c r="A211" t="s">
        <v>1003</v>
      </c>
      <c r="B211" t="s">
        <v>789</v>
      </c>
      <c r="C211">
        <v>4.3499999999999996</v>
      </c>
      <c r="D211">
        <v>4.29</v>
      </c>
      <c r="E211">
        <v>4.33</v>
      </c>
      <c r="F211">
        <v>4.41</v>
      </c>
      <c r="G211">
        <v>4.46</v>
      </c>
      <c r="H211">
        <v>2394</v>
      </c>
    </row>
    <row r="212" spans="1:8" x14ac:dyDescent="0.45">
      <c r="A212" t="s">
        <v>1004</v>
      </c>
      <c r="B212" t="s">
        <v>789</v>
      </c>
      <c r="C212">
        <v>4.37</v>
      </c>
      <c r="D212">
        <v>4.3</v>
      </c>
      <c r="E212">
        <v>4.3499999999999996</v>
      </c>
      <c r="F212">
        <v>4.43</v>
      </c>
      <c r="G212">
        <v>4.47</v>
      </c>
      <c r="H212">
        <v>2452</v>
      </c>
    </row>
    <row r="213" spans="1:8" x14ac:dyDescent="0.45">
      <c r="A213" t="s">
        <v>1005</v>
      </c>
      <c r="B213" t="s">
        <v>789</v>
      </c>
      <c r="C213">
        <v>4.33</v>
      </c>
      <c r="D213">
        <v>4.29</v>
      </c>
      <c r="E213">
        <v>4.3099999999999996</v>
      </c>
      <c r="F213">
        <v>4.3899999999999997</v>
      </c>
      <c r="G213">
        <v>4.43</v>
      </c>
      <c r="H213">
        <v>2319</v>
      </c>
    </row>
    <row r="214" spans="1:8" x14ac:dyDescent="0.45">
      <c r="A214" t="s">
        <v>1006</v>
      </c>
      <c r="B214" t="s">
        <v>789</v>
      </c>
      <c r="C214">
        <v>4.33</v>
      </c>
      <c r="D214">
        <v>4.28</v>
      </c>
      <c r="E214">
        <v>4.32</v>
      </c>
      <c r="F214">
        <v>4.3899999999999997</v>
      </c>
      <c r="G214">
        <v>4.43</v>
      </c>
      <c r="H214">
        <v>2329</v>
      </c>
    </row>
    <row r="215" spans="1:8" x14ac:dyDescent="0.45">
      <c r="A215" t="s">
        <v>1007</v>
      </c>
      <c r="B215" t="s">
        <v>789</v>
      </c>
      <c r="C215">
        <v>4.32</v>
      </c>
      <c r="D215">
        <v>4.28</v>
      </c>
      <c r="E215">
        <v>4.3099999999999996</v>
      </c>
      <c r="F215">
        <v>4.38</v>
      </c>
      <c r="G215">
        <v>4.42</v>
      </c>
      <c r="H215">
        <v>2313</v>
      </c>
    </row>
    <row r="216" spans="1:8" x14ac:dyDescent="0.45">
      <c r="A216" t="s">
        <v>1008</v>
      </c>
      <c r="B216" t="s">
        <v>789</v>
      </c>
      <c r="C216">
        <v>4.34</v>
      </c>
      <c r="D216">
        <v>4.28</v>
      </c>
      <c r="E216">
        <v>4.32</v>
      </c>
      <c r="F216">
        <v>4.4000000000000004</v>
      </c>
      <c r="G216">
        <v>4.4400000000000004</v>
      </c>
      <c r="H216">
        <v>2321</v>
      </c>
    </row>
    <row r="217" spans="1:8" x14ac:dyDescent="0.45">
      <c r="A217" t="s">
        <v>1009</v>
      </c>
      <c r="B217" t="s">
        <v>789</v>
      </c>
      <c r="C217">
        <v>4.3499999999999996</v>
      </c>
      <c r="D217">
        <v>4.29</v>
      </c>
      <c r="E217">
        <v>4.34</v>
      </c>
      <c r="F217">
        <v>4.41</v>
      </c>
      <c r="G217">
        <v>4.45</v>
      </c>
      <c r="H217">
        <v>2316</v>
      </c>
    </row>
    <row r="218" spans="1:8" x14ac:dyDescent="0.45">
      <c r="A218" t="s">
        <v>1010</v>
      </c>
      <c r="B218" t="s">
        <v>789</v>
      </c>
      <c r="C218">
        <v>4.3499999999999996</v>
      </c>
      <c r="D218">
        <v>4.29</v>
      </c>
      <c r="E218">
        <v>4.34</v>
      </c>
      <c r="F218">
        <v>4.41</v>
      </c>
      <c r="G218">
        <v>4.46</v>
      </c>
      <c r="H218">
        <v>2336</v>
      </c>
    </row>
    <row r="219" spans="1:8" x14ac:dyDescent="0.45">
      <c r="A219" t="s">
        <v>1011</v>
      </c>
      <c r="B219" t="s">
        <v>789</v>
      </c>
      <c r="C219">
        <v>4.3600000000000003</v>
      </c>
      <c r="D219">
        <v>4.3</v>
      </c>
      <c r="E219">
        <v>4.34</v>
      </c>
      <c r="F219">
        <v>4.43</v>
      </c>
      <c r="G219">
        <v>4.46</v>
      </c>
      <c r="H219">
        <v>2365</v>
      </c>
    </row>
    <row r="220" spans="1:8" x14ac:dyDescent="0.45">
      <c r="A220" t="s">
        <v>1012</v>
      </c>
      <c r="B220" t="s">
        <v>789</v>
      </c>
      <c r="C220">
        <v>4.33</v>
      </c>
      <c r="D220">
        <v>4.28</v>
      </c>
      <c r="E220">
        <v>4.3099999999999996</v>
      </c>
      <c r="F220">
        <v>4.38</v>
      </c>
      <c r="G220">
        <v>4.42</v>
      </c>
      <c r="H220">
        <v>2343</v>
      </c>
    </row>
    <row r="221" spans="1:8" x14ac:dyDescent="0.45">
      <c r="A221" t="s">
        <v>1013</v>
      </c>
      <c r="B221" t="s">
        <v>789</v>
      </c>
      <c r="C221">
        <v>4.33</v>
      </c>
      <c r="D221">
        <v>4.28</v>
      </c>
      <c r="E221">
        <v>4.32</v>
      </c>
      <c r="F221">
        <v>4.38</v>
      </c>
      <c r="G221">
        <v>4.42</v>
      </c>
      <c r="H221">
        <v>2344</v>
      </c>
    </row>
    <row r="222" spans="1:8" x14ac:dyDescent="0.45">
      <c r="A222" t="s">
        <v>1014</v>
      </c>
      <c r="B222" t="s">
        <v>789</v>
      </c>
      <c r="C222">
        <v>4.3499999999999996</v>
      </c>
      <c r="D222">
        <v>4.28</v>
      </c>
      <c r="E222">
        <v>4.33</v>
      </c>
      <c r="F222">
        <v>4.41</v>
      </c>
      <c r="G222">
        <v>4.45</v>
      </c>
      <c r="H222">
        <v>2413</v>
      </c>
    </row>
    <row r="223" spans="1:8" x14ac:dyDescent="0.45">
      <c r="A223" t="s">
        <v>1015</v>
      </c>
      <c r="B223" t="s">
        <v>789</v>
      </c>
      <c r="C223">
        <v>4.38</v>
      </c>
      <c r="D223">
        <v>4.3</v>
      </c>
      <c r="E223">
        <v>4.34</v>
      </c>
      <c r="F223">
        <v>4.4400000000000004</v>
      </c>
      <c r="G223">
        <v>4.47</v>
      </c>
      <c r="H223">
        <v>2533</v>
      </c>
    </row>
    <row r="224" spans="1:8" x14ac:dyDescent="0.45">
      <c r="A224" t="s">
        <v>1016</v>
      </c>
      <c r="B224" t="s">
        <v>789</v>
      </c>
      <c r="C224">
        <v>4.3600000000000003</v>
      </c>
      <c r="D224">
        <v>4.3</v>
      </c>
      <c r="E224">
        <v>4.3499999999999996</v>
      </c>
      <c r="F224">
        <v>4.43</v>
      </c>
      <c r="G224">
        <v>4.4800000000000004</v>
      </c>
      <c r="H224">
        <v>2369</v>
      </c>
    </row>
    <row r="225" spans="1:8" x14ac:dyDescent="0.45">
      <c r="A225" t="s">
        <v>1017</v>
      </c>
      <c r="B225" t="s">
        <v>789</v>
      </c>
      <c r="C225">
        <v>4.3499999999999996</v>
      </c>
      <c r="D225">
        <v>4.28</v>
      </c>
      <c r="E225">
        <v>4.33</v>
      </c>
      <c r="F225">
        <v>4.41</v>
      </c>
      <c r="G225">
        <v>4.45</v>
      </c>
      <c r="H225">
        <v>2323</v>
      </c>
    </row>
    <row r="226" spans="1:8" x14ac:dyDescent="0.45">
      <c r="A226" t="s">
        <v>1018</v>
      </c>
      <c r="B226" t="s">
        <v>789</v>
      </c>
      <c r="C226">
        <v>4.3499999999999996</v>
      </c>
      <c r="D226">
        <v>4.3</v>
      </c>
      <c r="E226">
        <v>4.34</v>
      </c>
      <c r="F226">
        <v>4.43</v>
      </c>
      <c r="G226">
        <v>4.47</v>
      </c>
      <c r="H226">
        <v>2283</v>
      </c>
    </row>
    <row r="227" spans="1:8" x14ac:dyDescent="0.45">
      <c r="A227" t="s">
        <v>1019</v>
      </c>
      <c r="B227" t="s">
        <v>789</v>
      </c>
      <c r="C227">
        <v>4.34</v>
      </c>
      <c r="D227">
        <v>4.28</v>
      </c>
      <c r="E227">
        <v>4.33</v>
      </c>
      <c r="F227">
        <v>4.4000000000000004</v>
      </c>
      <c r="G227">
        <v>4.45</v>
      </c>
      <c r="H227">
        <v>2338</v>
      </c>
    </row>
    <row r="228" spans="1:8" x14ac:dyDescent="0.45">
      <c r="A228" t="s">
        <v>1020</v>
      </c>
      <c r="B228" t="s">
        <v>789</v>
      </c>
      <c r="C228">
        <v>4.34</v>
      </c>
      <c r="D228">
        <v>4.28</v>
      </c>
      <c r="E228">
        <v>4.33</v>
      </c>
      <c r="F228">
        <v>4.4000000000000004</v>
      </c>
      <c r="G228">
        <v>4.45</v>
      </c>
      <c r="H228">
        <v>2289</v>
      </c>
    </row>
    <row r="229" spans="1:8" x14ac:dyDescent="0.45">
      <c r="A229" t="s">
        <v>1021</v>
      </c>
      <c r="B229" t="s">
        <v>789</v>
      </c>
      <c r="C229">
        <v>4.3499999999999996</v>
      </c>
      <c r="D229">
        <v>4.29</v>
      </c>
      <c r="E229">
        <v>4.34</v>
      </c>
      <c r="F229">
        <v>4.43</v>
      </c>
      <c r="G229">
        <v>4.4800000000000004</v>
      </c>
      <c r="H229">
        <v>2269</v>
      </c>
    </row>
    <row r="230" spans="1:8" x14ac:dyDescent="0.45">
      <c r="A230" t="s">
        <v>1022</v>
      </c>
      <c r="B230" t="s">
        <v>789</v>
      </c>
      <c r="C230">
        <v>4.3</v>
      </c>
      <c r="D230">
        <v>4.26</v>
      </c>
      <c r="E230">
        <v>4.29</v>
      </c>
      <c r="F230">
        <v>4.37</v>
      </c>
      <c r="G230">
        <v>4.4000000000000004</v>
      </c>
      <c r="H230">
        <v>2269</v>
      </c>
    </row>
    <row r="231" spans="1:8" x14ac:dyDescent="0.45">
      <c r="A231" t="s">
        <v>1023</v>
      </c>
      <c r="B231" t="s">
        <v>789</v>
      </c>
      <c r="C231">
        <v>4.29</v>
      </c>
      <c r="D231">
        <v>4.25</v>
      </c>
      <c r="E231">
        <v>4.2699999999999996</v>
      </c>
      <c r="F231">
        <v>4.3499999999999996</v>
      </c>
      <c r="G231">
        <v>4.38</v>
      </c>
      <c r="H231">
        <v>2361</v>
      </c>
    </row>
    <row r="232" spans="1:8" x14ac:dyDescent="0.45">
      <c r="A232" t="s">
        <v>1024</v>
      </c>
      <c r="B232" t="s">
        <v>789</v>
      </c>
      <c r="C232">
        <v>4.29</v>
      </c>
      <c r="D232">
        <v>4.25</v>
      </c>
      <c r="E232">
        <v>4.2699999999999996</v>
      </c>
      <c r="F232">
        <v>4.34</v>
      </c>
      <c r="G232">
        <v>4.38</v>
      </c>
      <c r="H232">
        <v>2326</v>
      </c>
    </row>
    <row r="233" spans="1:8" x14ac:dyDescent="0.45">
      <c r="A233" t="s">
        <v>1025</v>
      </c>
      <c r="B233" t="s">
        <v>789</v>
      </c>
      <c r="C233">
        <v>4.29</v>
      </c>
      <c r="D233">
        <v>4.25</v>
      </c>
      <c r="E233">
        <v>4.2699999999999996</v>
      </c>
      <c r="F233">
        <v>4.3499999999999996</v>
      </c>
      <c r="G233">
        <v>4.38</v>
      </c>
      <c r="H233">
        <v>2318</v>
      </c>
    </row>
    <row r="234" spans="1:8" x14ac:dyDescent="0.45">
      <c r="A234" t="s">
        <v>1026</v>
      </c>
      <c r="B234" t="s">
        <v>789</v>
      </c>
      <c r="C234">
        <v>4.28</v>
      </c>
      <c r="D234">
        <v>4.25</v>
      </c>
      <c r="E234">
        <v>4.2699999999999996</v>
      </c>
      <c r="F234">
        <v>4.34</v>
      </c>
      <c r="G234">
        <v>4.37</v>
      </c>
      <c r="H234">
        <v>2280</v>
      </c>
    </row>
    <row r="235" spans="1:8" x14ac:dyDescent="0.45">
      <c r="A235" t="s">
        <v>1027</v>
      </c>
      <c r="B235" t="s">
        <v>789</v>
      </c>
      <c r="C235">
        <v>4.28</v>
      </c>
      <c r="D235">
        <v>4.24</v>
      </c>
      <c r="E235">
        <v>4.2699999999999996</v>
      </c>
      <c r="F235">
        <v>4.33</v>
      </c>
      <c r="G235">
        <v>4.37</v>
      </c>
      <c r="H235">
        <v>2179</v>
      </c>
    </row>
    <row r="236" spans="1:8" x14ac:dyDescent="0.45">
      <c r="A236" t="s">
        <v>1028</v>
      </c>
      <c r="B236" t="s">
        <v>789</v>
      </c>
      <c r="C236">
        <v>4.29</v>
      </c>
      <c r="D236">
        <v>4.25</v>
      </c>
      <c r="E236">
        <v>4.28</v>
      </c>
      <c r="F236">
        <v>4.34</v>
      </c>
      <c r="G236">
        <v>4.3899999999999997</v>
      </c>
      <c r="H236">
        <v>2211</v>
      </c>
    </row>
    <row r="237" spans="1:8" x14ac:dyDescent="0.45">
      <c r="A237" t="s">
        <v>1029</v>
      </c>
      <c r="B237" t="s">
        <v>789</v>
      </c>
      <c r="C237">
        <v>4.3</v>
      </c>
      <c r="D237">
        <v>4.26</v>
      </c>
      <c r="E237">
        <v>4.29</v>
      </c>
      <c r="F237">
        <v>4.37</v>
      </c>
      <c r="G237">
        <v>4.41</v>
      </c>
      <c r="H237">
        <v>2204</v>
      </c>
    </row>
    <row r="238" spans="1:8" x14ac:dyDescent="0.45">
      <c r="A238" t="s">
        <v>1030</v>
      </c>
      <c r="B238" t="s">
        <v>789</v>
      </c>
      <c r="C238">
        <v>4.3</v>
      </c>
      <c r="D238">
        <v>4.26</v>
      </c>
      <c r="E238">
        <v>4.28</v>
      </c>
      <c r="F238">
        <v>4.3600000000000003</v>
      </c>
      <c r="G238">
        <v>4.4000000000000004</v>
      </c>
      <c r="H238">
        <v>2211</v>
      </c>
    </row>
    <row r="239" spans="1:8" x14ac:dyDescent="0.45">
      <c r="A239" t="s">
        <v>1031</v>
      </c>
      <c r="B239" t="s">
        <v>789</v>
      </c>
      <c r="C239">
        <v>4.29</v>
      </c>
      <c r="D239">
        <v>4.25</v>
      </c>
      <c r="E239">
        <v>4.2699999999999996</v>
      </c>
      <c r="F239">
        <v>4.3499999999999996</v>
      </c>
      <c r="G239">
        <v>4.3899999999999997</v>
      </c>
      <c r="H239">
        <v>2213</v>
      </c>
    </row>
    <row r="240" spans="1:8" x14ac:dyDescent="0.45">
      <c r="A240" t="s">
        <v>1032</v>
      </c>
      <c r="B240" t="s">
        <v>789</v>
      </c>
      <c r="C240">
        <v>4.2699999999999996</v>
      </c>
      <c r="D240">
        <v>4.25</v>
      </c>
      <c r="E240">
        <v>4.26</v>
      </c>
      <c r="F240">
        <v>4.32</v>
      </c>
      <c r="G240">
        <v>4.3600000000000003</v>
      </c>
      <c r="H240">
        <v>2322</v>
      </c>
    </row>
    <row r="241" spans="1:8" x14ac:dyDescent="0.45">
      <c r="A241" t="s">
        <v>1033</v>
      </c>
      <c r="B241" t="s">
        <v>789</v>
      </c>
      <c r="C241">
        <v>4.2699999999999996</v>
      </c>
      <c r="D241">
        <v>4.25</v>
      </c>
      <c r="E241">
        <v>4.26</v>
      </c>
      <c r="F241">
        <v>4.3099999999999996</v>
      </c>
      <c r="G241">
        <v>4.3499999999999996</v>
      </c>
      <c r="H241">
        <v>2349</v>
      </c>
    </row>
    <row r="242" spans="1:8" x14ac:dyDescent="0.45">
      <c r="A242" t="s">
        <v>1034</v>
      </c>
      <c r="B242" t="s">
        <v>789</v>
      </c>
      <c r="C242">
        <v>4.3099999999999996</v>
      </c>
      <c r="D242">
        <v>4.26</v>
      </c>
      <c r="E242">
        <v>4.3</v>
      </c>
      <c r="F242">
        <v>4.38</v>
      </c>
      <c r="G242">
        <v>4.43</v>
      </c>
      <c r="H242">
        <v>2398</v>
      </c>
    </row>
    <row r="243" spans="1:8" x14ac:dyDescent="0.45">
      <c r="A243" t="s">
        <v>1035</v>
      </c>
      <c r="B243" t="s">
        <v>789</v>
      </c>
      <c r="C243">
        <v>4.4000000000000004</v>
      </c>
      <c r="D243">
        <v>4.28</v>
      </c>
      <c r="E243">
        <v>4.3600000000000003</v>
      </c>
      <c r="F243">
        <v>4.4800000000000004</v>
      </c>
      <c r="G243">
        <v>4.5599999999999996</v>
      </c>
      <c r="H243">
        <v>2501</v>
      </c>
    </row>
    <row r="244" spans="1:8" x14ac:dyDescent="0.45">
      <c r="A244" t="s">
        <v>1036</v>
      </c>
      <c r="B244" t="s">
        <v>789</v>
      </c>
      <c r="C244">
        <v>4.49</v>
      </c>
      <c r="D244">
        <v>4.3600000000000003</v>
      </c>
      <c r="E244">
        <v>4.45</v>
      </c>
      <c r="F244">
        <v>4.6500000000000004</v>
      </c>
      <c r="G244">
        <v>4.75</v>
      </c>
      <c r="H244">
        <v>2474</v>
      </c>
    </row>
    <row r="245" spans="1:8" x14ac:dyDescent="0.45">
      <c r="A245" t="s">
        <v>1037</v>
      </c>
      <c r="B245" t="s">
        <v>789</v>
      </c>
      <c r="C245">
        <v>4.37</v>
      </c>
      <c r="D245">
        <v>4.3</v>
      </c>
      <c r="E245">
        <v>4.3499999999999996</v>
      </c>
      <c r="F245">
        <v>4.4800000000000004</v>
      </c>
      <c r="G245">
        <v>4.55</v>
      </c>
      <c r="H245">
        <v>2290</v>
      </c>
    </row>
    <row r="246" spans="1:8" x14ac:dyDescent="0.45">
      <c r="A246" t="s">
        <v>1038</v>
      </c>
      <c r="B246" t="s">
        <v>789</v>
      </c>
      <c r="C246">
        <v>4.46</v>
      </c>
      <c r="D246">
        <v>4.3</v>
      </c>
      <c r="E246">
        <v>4.45</v>
      </c>
      <c r="F246">
        <v>4.62</v>
      </c>
      <c r="G246">
        <v>4.7300000000000004</v>
      </c>
      <c r="H246">
        <v>2275</v>
      </c>
    </row>
    <row r="247" spans="1:8" x14ac:dyDescent="0.45">
      <c r="A247" t="s">
        <v>1039</v>
      </c>
      <c r="B247" t="s">
        <v>789</v>
      </c>
      <c r="C247">
        <v>4.53</v>
      </c>
      <c r="D247">
        <v>4.3499999999999996</v>
      </c>
      <c r="E247">
        <v>4.5</v>
      </c>
      <c r="F247">
        <v>4.7</v>
      </c>
      <c r="G247">
        <v>4.8</v>
      </c>
      <c r="H247">
        <v>2320</v>
      </c>
    </row>
    <row r="248" spans="1:8" x14ac:dyDescent="0.45">
      <c r="A248" t="s">
        <v>1040</v>
      </c>
      <c r="B248" t="s">
        <v>789</v>
      </c>
      <c r="C248">
        <v>4.4000000000000004</v>
      </c>
      <c r="D248">
        <v>4.3099999999999996</v>
      </c>
      <c r="E248">
        <v>4.3899999999999997</v>
      </c>
      <c r="F248">
        <v>4.5</v>
      </c>
      <c r="G248">
        <v>4.58</v>
      </c>
      <c r="H248">
        <v>2282</v>
      </c>
    </row>
    <row r="249" spans="1:8" x14ac:dyDescent="0.45">
      <c r="A249" t="s">
        <v>1041</v>
      </c>
      <c r="B249" t="s">
        <v>789</v>
      </c>
      <c r="C249">
        <v>4.3099999999999996</v>
      </c>
      <c r="D249">
        <v>4.25</v>
      </c>
      <c r="E249">
        <v>4.3</v>
      </c>
      <c r="F249">
        <v>4.38</v>
      </c>
      <c r="G249">
        <v>4.43</v>
      </c>
      <c r="H249">
        <v>2337</v>
      </c>
    </row>
    <row r="250" spans="1:8" x14ac:dyDescent="0.45">
      <c r="A250" t="s">
        <v>1042</v>
      </c>
      <c r="B250" t="s">
        <v>789</v>
      </c>
      <c r="C250">
        <v>4.3</v>
      </c>
      <c r="D250">
        <v>4.25</v>
      </c>
      <c r="E250">
        <v>4.28</v>
      </c>
      <c r="F250">
        <v>4.37</v>
      </c>
      <c r="G250">
        <v>4.4000000000000004</v>
      </c>
      <c r="H250">
        <v>2330</v>
      </c>
    </row>
    <row r="251" spans="1:8" x14ac:dyDescent="0.45">
      <c r="A251" t="s">
        <v>1043</v>
      </c>
      <c r="B251" t="s">
        <v>789</v>
      </c>
      <c r="C251">
        <v>4.3</v>
      </c>
      <c r="D251">
        <v>4.25</v>
      </c>
      <c r="E251">
        <v>4.2699999999999996</v>
      </c>
      <c r="F251">
        <v>4.3499999999999996</v>
      </c>
      <c r="G251">
        <v>4.58</v>
      </c>
      <c r="H251">
        <v>2390</v>
      </c>
    </row>
    <row r="252" spans="1:8" x14ac:dyDescent="0.45">
      <c r="A252" t="s">
        <v>1044</v>
      </c>
      <c r="B252" t="s">
        <v>789</v>
      </c>
      <c r="C252">
        <v>4.57</v>
      </c>
      <c r="D252">
        <v>4.55</v>
      </c>
      <c r="E252">
        <v>4.5599999999999996</v>
      </c>
      <c r="F252">
        <v>4.62</v>
      </c>
      <c r="G252">
        <v>4.66</v>
      </c>
      <c r="H252">
        <v>2291</v>
      </c>
    </row>
    <row r="253" spans="1:8" x14ac:dyDescent="0.45">
      <c r="A253" t="s">
        <v>1045</v>
      </c>
      <c r="B253" t="s">
        <v>789</v>
      </c>
      <c r="C253">
        <v>4.62</v>
      </c>
      <c r="D253">
        <v>4.55</v>
      </c>
      <c r="E253">
        <v>4.59</v>
      </c>
      <c r="F253">
        <v>4.68</v>
      </c>
      <c r="G253">
        <v>4.71</v>
      </c>
      <c r="H253">
        <v>2341</v>
      </c>
    </row>
    <row r="254" spans="1:8" x14ac:dyDescent="0.45">
      <c r="A254" t="s">
        <v>1046</v>
      </c>
      <c r="B254" t="s">
        <v>789</v>
      </c>
      <c r="C254">
        <v>4.6500000000000004</v>
      </c>
      <c r="D254">
        <v>4.5599999999999996</v>
      </c>
      <c r="E254">
        <v>4.6100000000000003</v>
      </c>
      <c r="F254">
        <v>4.71</v>
      </c>
      <c r="G254">
        <v>4.75</v>
      </c>
      <c r="H254">
        <v>2360</v>
      </c>
    </row>
    <row r="255" spans="1:8" x14ac:dyDescent="0.45">
      <c r="A255" t="s">
        <v>1047</v>
      </c>
      <c r="B255" t="s">
        <v>789</v>
      </c>
      <c r="C255">
        <v>4.5999999999999996</v>
      </c>
      <c r="D255">
        <v>4.55</v>
      </c>
      <c r="E255">
        <v>4.59</v>
      </c>
      <c r="F255">
        <v>4.66</v>
      </c>
      <c r="G255">
        <v>4.7</v>
      </c>
      <c r="H255">
        <v>2255</v>
      </c>
    </row>
    <row r="256" spans="1:8" x14ac:dyDescent="0.45">
      <c r="A256" t="s">
        <v>1048</v>
      </c>
      <c r="B256" t="s">
        <v>789</v>
      </c>
      <c r="C256">
        <v>4.62</v>
      </c>
      <c r="D256">
        <v>4.55</v>
      </c>
      <c r="E256">
        <v>4.5999999999999996</v>
      </c>
      <c r="F256">
        <v>4.68</v>
      </c>
      <c r="G256">
        <v>4.72</v>
      </c>
      <c r="H256">
        <v>2262</v>
      </c>
    </row>
    <row r="257" spans="1:8" x14ac:dyDescent="0.45">
      <c r="A257" t="s">
        <v>1049</v>
      </c>
      <c r="B257" t="s">
        <v>789</v>
      </c>
      <c r="C257">
        <v>4.62</v>
      </c>
      <c r="D257">
        <v>4.5599999999999996</v>
      </c>
      <c r="E257">
        <v>4.5999999999999996</v>
      </c>
      <c r="F257">
        <v>4.68</v>
      </c>
      <c r="G257">
        <v>4.72</v>
      </c>
      <c r="H257">
        <v>2287</v>
      </c>
    </row>
    <row r="258" spans="1:8" x14ac:dyDescent="0.45">
      <c r="A258" t="s">
        <v>1050</v>
      </c>
      <c r="B258" t="s">
        <v>789</v>
      </c>
      <c r="C258">
        <v>4.6399999999999997</v>
      </c>
      <c r="D258">
        <v>4.5599999999999996</v>
      </c>
      <c r="E258">
        <v>4.6100000000000003</v>
      </c>
      <c r="F258">
        <v>4.72</v>
      </c>
      <c r="G258">
        <v>4.76</v>
      </c>
      <c r="H258">
        <v>2308</v>
      </c>
    </row>
    <row r="259" spans="1:8" x14ac:dyDescent="0.45">
      <c r="A259" t="s">
        <v>1051</v>
      </c>
      <c r="B259" t="s">
        <v>789</v>
      </c>
      <c r="C259">
        <v>4.63</v>
      </c>
      <c r="D259">
        <v>4.5599999999999996</v>
      </c>
      <c r="E259">
        <v>4.5999999999999996</v>
      </c>
      <c r="F259">
        <v>4.6900000000000004</v>
      </c>
      <c r="G259">
        <v>4.74</v>
      </c>
      <c r="H259">
        <v>2305</v>
      </c>
    </row>
    <row r="260" spans="1:8" x14ac:dyDescent="0.45">
      <c r="A260" t="s">
        <v>1052</v>
      </c>
      <c r="B260" t="s">
        <v>789</v>
      </c>
      <c r="C260">
        <v>4.5999999999999996</v>
      </c>
      <c r="D260">
        <v>4.55</v>
      </c>
      <c r="E260">
        <v>4.58</v>
      </c>
      <c r="F260">
        <v>4.68</v>
      </c>
      <c r="G260">
        <v>4.7</v>
      </c>
      <c r="H260">
        <v>2277</v>
      </c>
    </row>
    <row r="261" spans="1:8" x14ac:dyDescent="0.45">
      <c r="A261" t="s">
        <v>1053</v>
      </c>
      <c r="B261" t="s">
        <v>789</v>
      </c>
      <c r="C261">
        <v>4.59</v>
      </c>
      <c r="D261">
        <v>4.55</v>
      </c>
      <c r="E261">
        <v>4.57</v>
      </c>
      <c r="F261">
        <v>4.6500000000000004</v>
      </c>
      <c r="G261">
        <v>4.68</v>
      </c>
      <c r="H261">
        <v>2325</v>
      </c>
    </row>
    <row r="262" spans="1:8" x14ac:dyDescent="0.45">
      <c r="A262" t="s">
        <v>1054</v>
      </c>
      <c r="B262" t="s">
        <v>789</v>
      </c>
      <c r="C262">
        <v>4.59</v>
      </c>
      <c r="D262">
        <v>4.55</v>
      </c>
      <c r="E262">
        <v>4.58</v>
      </c>
      <c r="F262">
        <v>4.66</v>
      </c>
      <c r="G262">
        <v>4.6900000000000004</v>
      </c>
      <c r="H262">
        <v>2265</v>
      </c>
    </row>
    <row r="263" spans="1:8" x14ac:dyDescent="0.45">
      <c r="A263" t="s">
        <v>1055</v>
      </c>
      <c r="B263" t="s">
        <v>789</v>
      </c>
      <c r="C263">
        <v>4.6399999999999997</v>
      </c>
      <c r="D263">
        <v>4.55</v>
      </c>
      <c r="E263">
        <v>4.5999999999999996</v>
      </c>
      <c r="F263">
        <v>4.7</v>
      </c>
      <c r="G263">
        <v>4.75</v>
      </c>
      <c r="H263">
        <v>2329</v>
      </c>
    </row>
    <row r="264" spans="1:8" x14ac:dyDescent="0.45">
      <c r="A264" t="s">
        <v>1056</v>
      </c>
      <c r="B264" t="s">
        <v>789</v>
      </c>
      <c r="C264">
        <v>4.6399999999999997</v>
      </c>
      <c r="D264">
        <v>4.57</v>
      </c>
      <c r="E264">
        <v>4.5999999999999996</v>
      </c>
      <c r="F264">
        <v>4.72</v>
      </c>
      <c r="G264">
        <v>4.75</v>
      </c>
      <c r="H264">
        <v>2440</v>
      </c>
    </row>
    <row r="265" spans="1:8" x14ac:dyDescent="0.45">
      <c r="A265" t="s">
        <v>1057</v>
      </c>
      <c r="B265" t="s">
        <v>789</v>
      </c>
      <c r="C265">
        <v>4.59</v>
      </c>
      <c r="D265">
        <v>4.55</v>
      </c>
      <c r="E265">
        <v>4.58</v>
      </c>
      <c r="F265">
        <v>4.66</v>
      </c>
      <c r="G265">
        <v>4.7</v>
      </c>
      <c r="H265">
        <v>2209</v>
      </c>
    </row>
    <row r="266" spans="1:8" x14ac:dyDescent="0.45">
      <c r="A266" t="s">
        <v>1058</v>
      </c>
      <c r="B266" t="s">
        <v>789</v>
      </c>
      <c r="C266">
        <v>4.57</v>
      </c>
      <c r="D266">
        <v>4.54</v>
      </c>
      <c r="E266">
        <v>4.5599999999999996</v>
      </c>
      <c r="F266">
        <v>4.63</v>
      </c>
      <c r="G266">
        <v>4.66</v>
      </c>
      <c r="H266">
        <v>2136</v>
      </c>
    </row>
    <row r="267" spans="1:8" x14ac:dyDescent="0.45">
      <c r="A267" t="s">
        <v>1059</v>
      </c>
      <c r="B267" t="s">
        <v>789</v>
      </c>
      <c r="C267">
        <v>4.58</v>
      </c>
      <c r="D267">
        <v>4.54</v>
      </c>
      <c r="E267">
        <v>4.57</v>
      </c>
      <c r="F267">
        <v>4.6399999999999997</v>
      </c>
      <c r="G267">
        <v>4.6900000000000004</v>
      </c>
      <c r="H267">
        <v>2214</v>
      </c>
    </row>
    <row r="268" spans="1:8" x14ac:dyDescent="0.45">
      <c r="A268" t="s">
        <v>1060</v>
      </c>
      <c r="B268" t="s">
        <v>789</v>
      </c>
      <c r="C268">
        <v>4.58</v>
      </c>
      <c r="D268">
        <v>4.55</v>
      </c>
      <c r="E268">
        <v>4.57</v>
      </c>
      <c r="F268">
        <v>4.6399999999999997</v>
      </c>
      <c r="G268">
        <v>4.6900000000000004</v>
      </c>
      <c r="H268">
        <v>2206</v>
      </c>
    </row>
    <row r="269" spans="1:8" x14ac:dyDescent="0.45">
      <c r="A269" t="s">
        <v>1061</v>
      </c>
      <c r="B269" t="s">
        <v>789</v>
      </c>
      <c r="C269">
        <v>4.57</v>
      </c>
      <c r="D269">
        <v>4.53</v>
      </c>
      <c r="E269">
        <v>4.5599999999999996</v>
      </c>
      <c r="F269">
        <v>4.62</v>
      </c>
      <c r="G269">
        <v>4.66</v>
      </c>
      <c r="H269">
        <v>2188</v>
      </c>
    </row>
    <row r="270" spans="1:8" x14ac:dyDescent="0.45">
      <c r="A270" t="s">
        <v>1062</v>
      </c>
      <c r="B270" t="s">
        <v>789</v>
      </c>
      <c r="C270">
        <v>4.57</v>
      </c>
      <c r="D270">
        <v>4.55</v>
      </c>
      <c r="E270">
        <v>4.5599999999999996</v>
      </c>
      <c r="F270">
        <v>4.62</v>
      </c>
      <c r="G270">
        <v>4.66</v>
      </c>
      <c r="H270">
        <v>2291</v>
      </c>
    </row>
    <row r="271" spans="1:8" x14ac:dyDescent="0.45">
      <c r="A271" t="s">
        <v>1063</v>
      </c>
      <c r="B271" t="s">
        <v>789</v>
      </c>
      <c r="C271">
        <v>4.5599999999999996</v>
      </c>
      <c r="D271">
        <v>4.54</v>
      </c>
      <c r="E271">
        <v>4.5599999999999996</v>
      </c>
      <c r="F271">
        <v>4.6100000000000003</v>
      </c>
      <c r="G271">
        <v>4.6500000000000004</v>
      </c>
      <c r="H271">
        <v>2155</v>
      </c>
    </row>
    <row r="272" spans="1:8" x14ac:dyDescent="0.45">
      <c r="A272" t="s">
        <v>1064</v>
      </c>
      <c r="B272" t="s">
        <v>789</v>
      </c>
      <c r="C272">
        <v>4.57</v>
      </c>
      <c r="D272">
        <v>4.55</v>
      </c>
      <c r="E272">
        <v>4.5599999999999996</v>
      </c>
      <c r="F272">
        <v>4.62</v>
      </c>
      <c r="G272">
        <v>4.66</v>
      </c>
      <c r="H272">
        <v>2275</v>
      </c>
    </row>
    <row r="273" spans="1:8" x14ac:dyDescent="0.45">
      <c r="A273" t="s">
        <v>1065</v>
      </c>
      <c r="B273" t="s">
        <v>789</v>
      </c>
      <c r="C273">
        <v>4.57</v>
      </c>
      <c r="D273">
        <v>4.54</v>
      </c>
      <c r="E273">
        <v>4.5599999999999996</v>
      </c>
      <c r="F273">
        <v>4.62</v>
      </c>
      <c r="G273">
        <v>4.6500000000000004</v>
      </c>
      <c r="H273">
        <v>2297</v>
      </c>
    </row>
    <row r="274" spans="1:8" x14ac:dyDescent="0.45">
      <c r="A274" t="s">
        <v>1066</v>
      </c>
      <c r="B274" t="s">
        <v>789</v>
      </c>
      <c r="C274">
        <v>4.57</v>
      </c>
      <c r="D274">
        <v>4.55</v>
      </c>
      <c r="E274">
        <v>4.5599999999999996</v>
      </c>
      <c r="F274">
        <v>4.62</v>
      </c>
      <c r="G274">
        <v>4.6500000000000004</v>
      </c>
      <c r="H274">
        <v>2425</v>
      </c>
    </row>
    <row r="275" spans="1:8" x14ac:dyDescent="0.45">
      <c r="A275" t="s">
        <v>1067</v>
      </c>
      <c r="B275" t="s">
        <v>789</v>
      </c>
      <c r="C275">
        <v>4.58</v>
      </c>
      <c r="D275">
        <v>4.55</v>
      </c>
      <c r="E275">
        <v>4.57</v>
      </c>
      <c r="F275">
        <v>4.62</v>
      </c>
      <c r="G275">
        <v>4.66</v>
      </c>
      <c r="H275">
        <v>2177</v>
      </c>
    </row>
    <row r="276" spans="1:8" x14ac:dyDescent="0.45">
      <c r="A276" t="s">
        <v>1068</v>
      </c>
      <c r="B276" t="s">
        <v>789</v>
      </c>
      <c r="C276">
        <v>4.59</v>
      </c>
      <c r="D276">
        <v>4.55</v>
      </c>
      <c r="E276">
        <v>4.58</v>
      </c>
      <c r="F276">
        <v>4.6399999999999997</v>
      </c>
      <c r="G276">
        <v>4.6900000000000004</v>
      </c>
      <c r="H276">
        <v>2233</v>
      </c>
    </row>
    <row r="277" spans="1:8" x14ac:dyDescent="0.45">
      <c r="A277" t="s">
        <v>1069</v>
      </c>
      <c r="B277" t="s">
        <v>789</v>
      </c>
      <c r="C277">
        <v>4.5999999999999996</v>
      </c>
      <c r="D277">
        <v>4.55</v>
      </c>
      <c r="E277">
        <v>4.58</v>
      </c>
      <c r="F277">
        <v>4.66</v>
      </c>
      <c r="G277">
        <v>4.7</v>
      </c>
      <c r="H277">
        <v>2298</v>
      </c>
    </row>
    <row r="278" spans="1:8" x14ac:dyDescent="0.45">
      <c r="A278" t="s">
        <v>1070</v>
      </c>
      <c r="B278" t="s">
        <v>789</v>
      </c>
      <c r="C278">
        <v>4.5999999999999996</v>
      </c>
      <c r="D278">
        <v>4.55</v>
      </c>
      <c r="E278">
        <v>4.58</v>
      </c>
      <c r="F278">
        <v>4.66</v>
      </c>
      <c r="G278">
        <v>4.83</v>
      </c>
      <c r="H278">
        <v>2184</v>
      </c>
    </row>
    <row r="279" spans="1:8" x14ac:dyDescent="0.45">
      <c r="A279" t="s">
        <v>1071</v>
      </c>
      <c r="B279" t="s">
        <v>789</v>
      </c>
      <c r="C279">
        <v>4.82</v>
      </c>
      <c r="D279">
        <v>4.79</v>
      </c>
      <c r="E279">
        <v>4.8099999999999996</v>
      </c>
      <c r="F279">
        <v>4.87</v>
      </c>
      <c r="G279">
        <v>4.91</v>
      </c>
      <c r="H279">
        <v>2266</v>
      </c>
    </row>
    <row r="280" spans="1:8" x14ac:dyDescent="0.45">
      <c r="A280" t="s">
        <v>1072</v>
      </c>
      <c r="B280" t="s">
        <v>789</v>
      </c>
      <c r="C280">
        <v>4.8099999999999996</v>
      </c>
      <c r="D280">
        <v>4.78</v>
      </c>
      <c r="E280">
        <v>4.8099999999999996</v>
      </c>
      <c r="F280">
        <v>4.8499999999999996</v>
      </c>
      <c r="G280">
        <v>4.88</v>
      </c>
      <c r="H280">
        <v>2128</v>
      </c>
    </row>
    <row r="281" spans="1:8" x14ac:dyDescent="0.45">
      <c r="A281" t="s">
        <v>1073</v>
      </c>
      <c r="B281" t="s">
        <v>789</v>
      </c>
      <c r="C281">
        <v>4.82</v>
      </c>
      <c r="D281">
        <v>4.79</v>
      </c>
      <c r="E281">
        <v>4.8099999999999996</v>
      </c>
      <c r="F281">
        <v>4.8499999999999996</v>
      </c>
      <c r="G281">
        <v>4.8899999999999997</v>
      </c>
      <c r="H281">
        <v>2235</v>
      </c>
    </row>
    <row r="282" spans="1:8" x14ac:dyDescent="0.45">
      <c r="A282" t="s">
        <v>1074</v>
      </c>
      <c r="B282" t="s">
        <v>789</v>
      </c>
      <c r="C282">
        <v>4.82</v>
      </c>
      <c r="D282">
        <v>4.79</v>
      </c>
      <c r="E282">
        <v>4.82</v>
      </c>
      <c r="F282">
        <v>4.87</v>
      </c>
      <c r="G282">
        <v>4.91</v>
      </c>
      <c r="H282">
        <v>2308</v>
      </c>
    </row>
    <row r="283" spans="1:8" x14ac:dyDescent="0.45">
      <c r="A283" t="s">
        <v>1075</v>
      </c>
      <c r="B283" t="s">
        <v>789</v>
      </c>
      <c r="C283">
        <v>4.8600000000000003</v>
      </c>
      <c r="D283">
        <v>4.8</v>
      </c>
      <c r="E283">
        <v>4.84</v>
      </c>
      <c r="F283">
        <v>4.93</v>
      </c>
      <c r="G283">
        <v>4.97</v>
      </c>
      <c r="H283">
        <v>2164</v>
      </c>
    </row>
    <row r="284" spans="1:8" x14ac:dyDescent="0.45">
      <c r="A284" t="s">
        <v>1076</v>
      </c>
      <c r="B284" t="s">
        <v>789</v>
      </c>
      <c r="C284">
        <v>4.9000000000000004</v>
      </c>
      <c r="D284">
        <v>4.8</v>
      </c>
      <c r="E284">
        <v>4.8600000000000003</v>
      </c>
      <c r="F284">
        <v>4.9800000000000004</v>
      </c>
      <c r="G284">
        <v>5.03</v>
      </c>
      <c r="H284">
        <v>2244</v>
      </c>
    </row>
    <row r="285" spans="1:8" x14ac:dyDescent="0.45">
      <c r="A285" t="s">
        <v>1077</v>
      </c>
      <c r="B285" t="s">
        <v>789</v>
      </c>
      <c r="C285">
        <v>4.8099999999999996</v>
      </c>
      <c r="D285">
        <v>4.78</v>
      </c>
      <c r="E285">
        <v>4.8099999999999996</v>
      </c>
      <c r="F285">
        <v>4.8499999999999996</v>
      </c>
      <c r="G285">
        <v>4.8899999999999997</v>
      </c>
      <c r="H285">
        <v>2045</v>
      </c>
    </row>
    <row r="286" spans="1:8" x14ac:dyDescent="0.45">
      <c r="A286" t="s">
        <v>1078</v>
      </c>
      <c r="B286" t="s">
        <v>789</v>
      </c>
      <c r="C286">
        <v>4.82</v>
      </c>
      <c r="D286">
        <v>4.78</v>
      </c>
      <c r="E286">
        <v>4.8099999999999996</v>
      </c>
      <c r="F286">
        <v>4.8600000000000003</v>
      </c>
      <c r="G286">
        <v>4.9000000000000004</v>
      </c>
      <c r="H286">
        <v>2116</v>
      </c>
    </row>
    <row r="287" spans="1:8" x14ac:dyDescent="0.45">
      <c r="A287" t="s">
        <v>1079</v>
      </c>
      <c r="B287" t="s">
        <v>789</v>
      </c>
      <c r="C287">
        <v>4.82</v>
      </c>
      <c r="D287">
        <v>4.79</v>
      </c>
      <c r="E287">
        <v>4.8099999999999996</v>
      </c>
      <c r="F287">
        <v>4.88</v>
      </c>
      <c r="G287">
        <v>4.92</v>
      </c>
      <c r="H287">
        <v>2194</v>
      </c>
    </row>
    <row r="288" spans="1:8" x14ac:dyDescent="0.45">
      <c r="A288" t="s">
        <v>1080</v>
      </c>
      <c r="B288" t="s">
        <v>789</v>
      </c>
      <c r="C288">
        <v>4.83</v>
      </c>
      <c r="D288">
        <v>4.79</v>
      </c>
      <c r="E288">
        <v>4.82</v>
      </c>
      <c r="F288">
        <v>4.8899999999999997</v>
      </c>
      <c r="G288">
        <v>4.9400000000000004</v>
      </c>
      <c r="H288">
        <v>2188</v>
      </c>
    </row>
    <row r="289" spans="1:8" x14ac:dyDescent="0.45">
      <c r="A289" t="s">
        <v>1081</v>
      </c>
      <c r="B289" t="s">
        <v>789</v>
      </c>
      <c r="C289">
        <v>4.83</v>
      </c>
      <c r="D289">
        <v>4.7699999999999996</v>
      </c>
      <c r="E289">
        <v>4.83</v>
      </c>
      <c r="F289">
        <v>4.8899999999999997</v>
      </c>
      <c r="G289">
        <v>4.9400000000000004</v>
      </c>
      <c r="H289">
        <v>2246</v>
      </c>
    </row>
    <row r="290" spans="1:8" x14ac:dyDescent="0.45">
      <c r="A290" t="s">
        <v>1082</v>
      </c>
      <c r="B290" t="s">
        <v>789</v>
      </c>
      <c r="C290">
        <v>4.83</v>
      </c>
      <c r="D290">
        <v>4.79</v>
      </c>
      <c r="E290">
        <v>4.82</v>
      </c>
      <c r="F290">
        <v>4.8899999999999997</v>
      </c>
      <c r="G290">
        <v>4.92</v>
      </c>
      <c r="H290">
        <v>2129</v>
      </c>
    </row>
    <row r="291" spans="1:8" x14ac:dyDescent="0.45">
      <c r="A291" t="s">
        <v>1083</v>
      </c>
      <c r="B291" t="s">
        <v>789</v>
      </c>
      <c r="C291">
        <v>4.83</v>
      </c>
      <c r="D291">
        <v>4.79</v>
      </c>
      <c r="E291">
        <v>4.82</v>
      </c>
      <c r="F291">
        <v>4.8899999999999997</v>
      </c>
      <c r="G291">
        <v>4.92</v>
      </c>
      <c r="H291">
        <v>2226</v>
      </c>
    </row>
    <row r="292" spans="1:8" x14ac:dyDescent="0.45">
      <c r="A292" t="s">
        <v>1084</v>
      </c>
      <c r="B292" t="s">
        <v>789</v>
      </c>
      <c r="C292">
        <v>4.82</v>
      </c>
      <c r="D292">
        <v>4.8</v>
      </c>
      <c r="E292">
        <v>4.8099999999999996</v>
      </c>
      <c r="F292">
        <v>4.87</v>
      </c>
      <c r="G292">
        <v>4.91</v>
      </c>
      <c r="H292">
        <v>2322</v>
      </c>
    </row>
    <row r="293" spans="1:8" x14ac:dyDescent="0.45">
      <c r="A293" t="s">
        <v>1085</v>
      </c>
      <c r="B293" t="s">
        <v>789</v>
      </c>
      <c r="C293">
        <v>4.84</v>
      </c>
      <c r="D293">
        <v>4.8</v>
      </c>
      <c r="E293">
        <v>4.82</v>
      </c>
      <c r="F293">
        <v>4.9000000000000004</v>
      </c>
      <c r="G293">
        <v>4.9400000000000004</v>
      </c>
      <c r="H293">
        <v>2168</v>
      </c>
    </row>
    <row r="294" spans="1:8" x14ac:dyDescent="0.45">
      <c r="A294" t="s">
        <v>1086</v>
      </c>
      <c r="B294" t="s">
        <v>789</v>
      </c>
      <c r="C294">
        <v>4.8499999999999996</v>
      </c>
      <c r="D294">
        <v>4.8099999999999996</v>
      </c>
      <c r="E294">
        <v>4.84</v>
      </c>
      <c r="F294">
        <v>4.9400000000000004</v>
      </c>
      <c r="G294">
        <v>4.9800000000000004</v>
      </c>
      <c r="H294">
        <v>2334</v>
      </c>
    </row>
    <row r="295" spans="1:8" x14ac:dyDescent="0.45">
      <c r="A295" t="s">
        <v>1087</v>
      </c>
      <c r="B295" t="s">
        <v>789</v>
      </c>
      <c r="C295">
        <v>4.8600000000000003</v>
      </c>
      <c r="D295">
        <v>4.8099999999999996</v>
      </c>
      <c r="E295">
        <v>4.84</v>
      </c>
      <c r="F295">
        <v>4.9400000000000004</v>
      </c>
      <c r="G295">
        <v>4.97</v>
      </c>
      <c r="H295">
        <v>2317</v>
      </c>
    </row>
    <row r="296" spans="1:8" x14ac:dyDescent="0.45">
      <c r="A296" t="s">
        <v>1088</v>
      </c>
      <c r="B296" t="s">
        <v>789</v>
      </c>
      <c r="C296">
        <v>4.8600000000000003</v>
      </c>
      <c r="D296">
        <v>4.8099999999999996</v>
      </c>
      <c r="E296">
        <v>4.84</v>
      </c>
      <c r="F296">
        <v>4.9400000000000004</v>
      </c>
      <c r="G296">
        <v>5</v>
      </c>
      <c r="H296">
        <v>2272</v>
      </c>
    </row>
    <row r="297" spans="1:8" x14ac:dyDescent="0.45">
      <c r="A297" t="s">
        <v>1089</v>
      </c>
      <c r="B297" t="s">
        <v>789</v>
      </c>
      <c r="C297">
        <v>4.8099999999999996</v>
      </c>
      <c r="D297">
        <v>4.79</v>
      </c>
      <c r="E297">
        <v>4.8099999999999996</v>
      </c>
      <c r="F297">
        <v>4.8499999999999996</v>
      </c>
      <c r="G297">
        <v>4.8899999999999997</v>
      </c>
      <c r="H297">
        <v>2058</v>
      </c>
    </row>
    <row r="298" spans="1:8" x14ac:dyDescent="0.45">
      <c r="A298" t="s">
        <v>1090</v>
      </c>
      <c r="B298" t="s">
        <v>789</v>
      </c>
      <c r="C298">
        <v>4.82</v>
      </c>
      <c r="D298">
        <v>4.79</v>
      </c>
      <c r="E298">
        <v>4.8099999999999996</v>
      </c>
      <c r="F298">
        <v>4.8600000000000003</v>
      </c>
      <c r="G298">
        <v>4.91</v>
      </c>
      <c r="H298">
        <v>2198</v>
      </c>
    </row>
    <row r="299" spans="1:8" x14ac:dyDescent="0.45">
      <c r="A299" t="s">
        <v>1091</v>
      </c>
      <c r="B299" t="s">
        <v>789</v>
      </c>
      <c r="C299">
        <v>4.83</v>
      </c>
      <c r="D299">
        <v>4.8</v>
      </c>
      <c r="E299">
        <v>4.82</v>
      </c>
      <c r="F299">
        <v>4.88</v>
      </c>
      <c r="G299">
        <v>4.93</v>
      </c>
      <c r="H299">
        <v>2220</v>
      </c>
    </row>
    <row r="300" spans="1:8" x14ac:dyDescent="0.45">
      <c r="A300" t="s">
        <v>1092</v>
      </c>
      <c r="B300" t="s">
        <v>789</v>
      </c>
      <c r="C300">
        <v>4.84</v>
      </c>
      <c r="D300">
        <v>4.8</v>
      </c>
      <c r="E300">
        <v>4.83</v>
      </c>
      <c r="F300">
        <v>4.9000000000000004</v>
      </c>
      <c r="G300">
        <v>4.9400000000000004</v>
      </c>
      <c r="H300">
        <v>2166</v>
      </c>
    </row>
    <row r="301" spans="1:8" x14ac:dyDescent="0.45">
      <c r="A301" t="s">
        <v>1093</v>
      </c>
      <c r="B301" t="s">
        <v>789</v>
      </c>
      <c r="C301">
        <v>4.83</v>
      </c>
      <c r="D301">
        <v>4.8</v>
      </c>
      <c r="E301">
        <v>4.82</v>
      </c>
      <c r="F301">
        <v>4.88</v>
      </c>
      <c r="G301">
        <v>4.93</v>
      </c>
      <c r="H301">
        <v>2350</v>
      </c>
    </row>
    <row r="302" spans="1:8" x14ac:dyDescent="0.45">
      <c r="A302" t="s">
        <v>1094</v>
      </c>
      <c r="B302" t="s">
        <v>789</v>
      </c>
      <c r="C302">
        <v>4.83</v>
      </c>
      <c r="D302">
        <v>4.8</v>
      </c>
      <c r="E302">
        <v>4.82</v>
      </c>
      <c r="F302">
        <v>4.8899999999999997</v>
      </c>
      <c r="G302">
        <v>4.93</v>
      </c>
      <c r="H302">
        <v>2377</v>
      </c>
    </row>
    <row r="303" spans="1:8" x14ac:dyDescent="0.45">
      <c r="A303" t="s">
        <v>1095</v>
      </c>
      <c r="B303" t="s">
        <v>789</v>
      </c>
      <c r="C303">
        <v>4.8499999999999996</v>
      </c>
      <c r="D303">
        <v>4.8</v>
      </c>
      <c r="E303">
        <v>4.83</v>
      </c>
      <c r="F303">
        <v>4.91</v>
      </c>
      <c r="G303">
        <v>4.96</v>
      </c>
      <c r="H303">
        <v>2182</v>
      </c>
    </row>
    <row r="304" spans="1:8" x14ac:dyDescent="0.45">
      <c r="A304" t="s">
        <v>1096</v>
      </c>
      <c r="B304" t="s">
        <v>789</v>
      </c>
      <c r="C304">
        <v>4.92</v>
      </c>
      <c r="D304">
        <v>4.83</v>
      </c>
      <c r="E304">
        <v>4.87</v>
      </c>
      <c r="F304">
        <v>5.01</v>
      </c>
      <c r="G304">
        <v>5.09</v>
      </c>
      <c r="H304">
        <v>2426</v>
      </c>
    </row>
    <row r="305" spans="1:8" x14ac:dyDescent="0.45">
      <c r="A305" t="s">
        <v>1097</v>
      </c>
      <c r="B305" t="s">
        <v>789</v>
      </c>
      <c r="C305">
        <v>5.05</v>
      </c>
      <c r="D305">
        <v>4.8499999999999996</v>
      </c>
      <c r="E305">
        <v>4.92</v>
      </c>
      <c r="F305">
        <v>5.14</v>
      </c>
      <c r="G305">
        <v>5.28</v>
      </c>
      <c r="H305">
        <v>2395</v>
      </c>
    </row>
    <row r="306" spans="1:8" x14ac:dyDescent="0.45">
      <c r="A306" t="s">
        <v>1098</v>
      </c>
      <c r="B306" t="s">
        <v>789</v>
      </c>
      <c r="C306">
        <v>4.96</v>
      </c>
      <c r="D306">
        <v>4.83</v>
      </c>
      <c r="E306">
        <v>4.88</v>
      </c>
      <c r="F306">
        <v>5.0199999999999996</v>
      </c>
      <c r="G306">
        <v>5.45</v>
      </c>
      <c r="H306">
        <v>2523</v>
      </c>
    </row>
    <row r="307" spans="1:8" x14ac:dyDescent="0.45">
      <c r="A307" t="s">
        <v>1099</v>
      </c>
      <c r="B307" t="s">
        <v>789</v>
      </c>
      <c r="C307">
        <v>4.84</v>
      </c>
      <c r="D307">
        <v>4.8</v>
      </c>
      <c r="E307">
        <v>4.83</v>
      </c>
      <c r="F307">
        <v>4.9000000000000004</v>
      </c>
      <c r="G307">
        <v>4.95</v>
      </c>
      <c r="H307">
        <v>2077</v>
      </c>
    </row>
    <row r="308" spans="1:8" x14ac:dyDescent="0.45">
      <c r="A308" t="s">
        <v>1100</v>
      </c>
      <c r="B308" t="s">
        <v>789</v>
      </c>
      <c r="C308">
        <v>4.83</v>
      </c>
      <c r="D308">
        <v>4.8</v>
      </c>
      <c r="E308">
        <v>4.82</v>
      </c>
      <c r="F308">
        <v>4.8899999999999997</v>
      </c>
      <c r="G308">
        <v>4.95</v>
      </c>
      <c r="H308">
        <v>2329</v>
      </c>
    </row>
    <row r="309" spans="1:8" x14ac:dyDescent="0.45">
      <c r="A309" t="s">
        <v>1101</v>
      </c>
      <c r="B309" t="s">
        <v>789</v>
      </c>
      <c r="C309">
        <v>4.84</v>
      </c>
      <c r="D309">
        <v>4.79</v>
      </c>
      <c r="E309">
        <v>4.83</v>
      </c>
      <c r="F309">
        <v>4.91</v>
      </c>
      <c r="G309">
        <v>4.95</v>
      </c>
      <c r="H309">
        <v>2133</v>
      </c>
    </row>
    <row r="310" spans="1:8" x14ac:dyDescent="0.45">
      <c r="A310" t="s">
        <v>1102</v>
      </c>
      <c r="B310" t="s">
        <v>789</v>
      </c>
      <c r="C310">
        <v>4.84</v>
      </c>
      <c r="D310">
        <v>4.79</v>
      </c>
      <c r="E310">
        <v>4.83</v>
      </c>
      <c r="F310">
        <v>4.91</v>
      </c>
      <c r="G310">
        <v>4.95</v>
      </c>
      <c r="H310">
        <v>2171</v>
      </c>
    </row>
    <row r="311" spans="1:8" x14ac:dyDescent="0.45">
      <c r="A311" t="s">
        <v>1103</v>
      </c>
      <c r="B311" t="s">
        <v>789</v>
      </c>
      <c r="C311">
        <v>4.83</v>
      </c>
      <c r="D311">
        <v>4.78</v>
      </c>
      <c r="E311">
        <v>4.82</v>
      </c>
      <c r="F311">
        <v>4.8899999999999997</v>
      </c>
      <c r="G311">
        <v>4.93</v>
      </c>
      <c r="H311">
        <v>2198</v>
      </c>
    </row>
    <row r="312" spans="1:8" x14ac:dyDescent="0.45">
      <c r="A312" t="s">
        <v>1104</v>
      </c>
      <c r="B312" t="s">
        <v>789</v>
      </c>
      <c r="C312">
        <v>4.83</v>
      </c>
      <c r="D312">
        <v>4.78</v>
      </c>
      <c r="E312">
        <v>4.82</v>
      </c>
      <c r="F312">
        <v>4.88</v>
      </c>
      <c r="G312">
        <v>4.92</v>
      </c>
      <c r="H312">
        <v>2147</v>
      </c>
    </row>
    <row r="313" spans="1:8" x14ac:dyDescent="0.45">
      <c r="A313" t="s">
        <v>1105</v>
      </c>
      <c r="B313" t="s">
        <v>789</v>
      </c>
      <c r="C313">
        <v>4.82</v>
      </c>
      <c r="D313">
        <v>4.79</v>
      </c>
      <c r="E313">
        <v>4.8099999999999996</v>
      </c>
      <c r="F313">
        <v>4.8600000000000003</v>
      </c>
      <c r="G313">
        <v>5.34</v>
      </c>
      <c r="H313">
        <v>2378</v>
      </c>
    </row>
    <row r="314" spans="1:8" x14ac:dyDescent="0.45">
      <c r="A314" t="s">
        <v>1106</v>
      </c>
      <c r="B314" t="s">
        <v>789</v>
      </c>
      <c r="C314">
        <v>5.33</v>
      </c>
      <c r="D314">
        <v>5.28</v>
      </c>
      <c r="E314">
        <v>5.32</v>
      </c>
      <c r="F314">
        <v>5.38</v>
      </c>
      <c r="G314">
        <v>5.42</v>
      </c>
      <c r="H314">
        <v>2194</v>
      </c>
    </row>
    <row r="315" spans="1:8" x14ac:dyDescent="0.45">
      <c r="A315" t="s">
        <v>1107</v>
      </c>
      <c r="B315" t="s">
        <v>789</v>
      </c>
      <c r="C315">
        <v>5.38</v>
      </c>
      <c r="D315">
        <v>5.3</v>
      </c>
      <c r="E315">
        <v>5.33</v>
      </c>
      <c r="F315">
        <v>5.43</v>
      </c>
      <c r="G315">
        <v>5.47</v>
      </c>
      <c r="H315">
        <v>2161</v>
      </c>
    </row>
    <row r="316" spans="1:8" x14ac:dyDescent="0.45">
      <c r="A316" t="s">
        <v>1108</v>
      </c>
      <c r="B316" t="s">
        <v>789</v>
      </c>
      <c r="C316">
        <v>5.38</v>
      </c>
      <c r="D316">
        <v>5.3</v>
      </c>
      <c r="E316">
        <v>5.33</v>
      </c>
      <c r="F316">
        <v>5.44</v>
      </c>
      <c r="G316">
        <v>5.48</v>
      </c>
      <c r="H316">
        <v>2212</v>
      </c>
    </row>
    <row r="317" spans="1:8" x14ac:dyDescent="0.45">
      <c r="A317" t="s">
        <v>1109</v>
      </c>
      <c r="B317" t="s">
        <v>789</v>
      </c>
      <c r="C317">
        <v>5.33</v>
      </c>
      <c r="D317">
        <v>5.3</v>
      </c>
      <c r="E317">
        <v>5.32</v>
      </c>
      <c r="F317">
        <v>5.39</v>
      </c>
      <c r="G317">
        <v>5.43</v>
      </c>
      <c r="H317">
        <v>2232</v>
      </c>
    </row>
    <row r="318" spans="1:8" x14ac:dyDescent="0.45">
      <c r="A318" t="s">
        <v>1110</v>
      </c>
      <c r="B318" t="s">
        <v>789</v>
      </c>
      <c r="C318">
        <v>5.33</v>
      </c>
      <c r="D318">
        <v>5.28</v>
      </c>
      <c r="E318">
        <v>5.31</v>
      </c>
      <c r="F318">
        <v>5.39</v>
      </c>
      <c r="G318">
        <v>5.42</v>
      </c>
      <c r="H318">
        <v>2087</v>
      </c>
    </row>
    <row r="319" spans="1:8" x14ac:dyDescent="0.45">
      <c r="A319" t="s">
        <v>1111</v>
      </c>
      <c r="B319" t="s">
        <v>789</v>
      </c>
      <c r="C319">
        <v>5.32</v>
      </c>
      <c r="D319">
        <v>5.29</v>
      </c>
      <c r="E319">
        <v>5.31</v>
      </c>
      <c r="F319">
        <v>5.37</v>
      </c>
      <c r="G319">
        <v>5.41</v>
      </c>
      <c r="H319">
        <v>2308</v>
      </c>
    </row>
    <row r="320" spans="1:8" x14ac:dyDescent="0.45">
      <c r="A320" t="s">
        <v>1112</v>
      </c>
      <c r="B320" t="s">
        <v>789</v>
      </c>
      <c r="C320">
        <v>5.33</v>
      </c>
      <c r="D320">
        <v>5.29</v>
      </c>
      <c r="E320">
        <v>5.32</v>
      </c>
      <c r="F320">
        <v>5.38</v>
      </c>
      <c r="G320">
        <v>5.43</v>
      </c>
      <c r="H320">
        <v>2161</v>
      </c>
    </row>
    <row r="321" spans="1:8" x14ac:dyDescent="0.45">
      <c r="A321" t="s">
        <v>1113</v>
      </c>
      <c r="B321" t="s">
        <v>789</v>
      </c>
      <c r="C321">
        <v>5.34</v>
      </c>
      <c r="D321">
        <v>5.29</v>
      </c>
      <c r="E321">
        <v>5.32</v>
      </c>
      <c r="F321">
        <v>5.41</v>
      </c>
      <c r="G321">
        <v>5.45</v>
      </c>
      <c r="H321">
        <v>2094</v>
      </c>
    </row>
    <row r="322" spans="1:8" x14ac:dyDescent="0.45">
      <c r="A322" t="s">
        <v>1114</v>
      </c>
      <c r="B322" t="s">
        <v>789</v>
      </c>
      <c r="C322">
        <v>5.34</v>
      </c>
      <c r="D322">
        <v>5.3</v>
      </c>
      <c r="E322">
        <v>5.33</v>
      </c>
      <c r="F322">
        <v>5.42</v>
      </c>
      <c r="G322">
        <v>5.46</v>
      </c>
      <c r="H322">
        <v>2119</v>
      </c>
    </row>
    <row r="323" spans="1:8" x14ac:dyDescent="0.45">
      <c r="A323" t="s">
        <v>1115</v>
      </c>
      <c r="B323" t="s">
        <v>789</v>
      </c>
      <c r="C323">
        <v>5.35</v>
      </c>
      <c r="D323">
        <v>5.3</v>
      </c>
      <c r="E323">
        <v>5.33</v>
      </c>
      <c r="F323">
        <v>5.43</v>
      </c>
      <c r="G323">
        <v>5.46</v>
      </c>
      <c r="H323">
        <v>2205</v>
      </c>
    </row>
    <row r="324" spans="1:8" x14ac:dyDescent="0.45">
      <c r="A324" t="s">
        <v>1116</v>
      </c>
      <c r="B324" t="s">
        <v>789</v>
      </c>
      <c r="C324">
        <v>5.35</v>
      </c>
      <c r="D324">
        <v>5.3</v>
      </c>
      <c r="E324">
        <v>5.33</v>
      </c>
      <c r="F324">
        <v>5.43</v>
      </c>
      <c r="G324">
        <v>5.46</v>
      </c>
      <c r="H324">
        <v>2169</v>
      </c>
    </row>
    <row r="325" spans="1:8" x14ac:dyDescent="0.45">
      <c r="A325" t="s">
        <v>1117</v>
      </c>
      <c r="B325" t="s">
        <v>789</v>
      </c>
      <c r="C325">
        <v>5.34</v>
      </c>
      <c r="D325">
        <v>5.3</v>
      </c>
      <c r="E325">
        <v>5.33</v>
      </c>
      <c r="F325">
        <v>5.45</v>
      </c>
      <c r="G325">
        <v>5.5</v>
      </c>
      <c r="H325">
        <v>2403</v>
      </c>
    </row>
    <row r="326" spans="1:8" x14ac:dyDescent="0.45">
      <c r="A326" t="s">
        <v>1118</v>
      </c>
      <c r="B326" t="s">
        <v>789</v>
      </c>
      <c r="C326">
        <v>5.32</v>
      </c>
      <c r="D326">
        <v>5.28</v>
      </c>
      <c r="E326">
        <v>5.32</v>
      </c>
      <c r="F326">
        <v>5.38</v>
      </c>
      <c r="G326">
        <v>5.43</v>
      </c>
      <c r="H326">
        <v>2011</v>
      </c>
    </row>
    <row r="327" spans="1:8" x14ac:dyDescent="0.45">
      <c r="A327" t="s">
        <v>1119</v>
      </c>
      <c r="B327" t="s">
        <v>789</v>
      </c>
      <c r="C327">
        <v>5.33</v>
      </c>
      <c r="D327">
        <v>5.29</v>
      </c>
      <c r="E327">
        <v>5.32</v>
      </c>
      <c r="F327">
        <v>5.39</v>
      </c>
      <c r="G327">
        <v>5.46</v>
      </c>
      <c r="H327">
        <v>2088</v>
      </c>
    </row>
    <row r="328" spans="1:8" x14ac:dyDescent="0.45">
      <c r="A328" t="s">
        <v>1120</v>
      </c>
      <c r="B328" t="s">
        <v>789</v>
      </c>
      <c r="C328">
        <v>5.35</v>
      </c>
      <c r="D328">
        <v>5.3</v>
      </c>
      <c r="E328">
        <v>5.34</v>
      </c>
      <c r="F328">
        <v>5.44</v>
      </c>
      <c r="G328">
        <v>5.49</v>
      </c>
      <c r="H328">
        <v>2030</v>
      </c>
    </row>
    <row r="329" spans="1:8" x14ac:dyDescent="0.45">
      <c r="A329" t="s">
        <v>1121</v>
      </c>
      <c r="B329" t="s">
        <v>789</v>
      </c>
      <c r="C329">
        <v>5.35</v>
      </c>
      <c r="D329">
        <v>5.3</v>
      </c>
      <c r="E329">
        <v>5.34</v>
      </c>
      <c r="F329">
        <v>5.46</v>
      </c>
      <c r="G329">
        <v>5.5</v>
      </c>
      <c r="H329">
        <v>2227</v>
      </c>
    </row>
    <row r="330" spans="1:8" x14ac:dyDescent="0.45">
      <c r="A330" t="s">
        <v>1122</v>
      </c>
      <c r="B330" t="s">
        <v>789</v>
      </c>
      <c r="C330">
        <v>5.34</v>
      </c>
      <c r="D330">
        <v>5.3</v>
      </c>
      <c r="E330">
        <v>5.32</v>
      </c>
      <c r="F330">
        <v>5.4</v>
      </c>
      <c r="G330">
        <v>5.44</v>
      </c>
      <c r="H330">
        <v>2039</v>
      </c>
    </row>
    <row r="331" spans="1:8" x14ac:dyDescent="0.45">
      <c r="A331" t="s">
        <v>1123</v>
      </c>
      <c r="B331" t="s">
        <v>789</v>
      </c>
      <c r="C331">
        <v>5.33</v>
      </c>
      <c r="D331">
        <v>5.3</v>
      </c>
      <c r="E331">
        <v>5.32</v>
      </c>
      <c r="F331">
        <v>5.39</v>
      </c>
      <c r="G331">
        <v>5.44</v>
      </c>
      <c r="H331">
        <v>2152</v>
      </c>
    </row>
    <row r="332" spans="1:8" x14ac:dyDescent="0.45">
      <c r="A332" t="s">
        <v>1124</v>
      </c>
      <c r="B332" t="s">
        <v>789</v>
      </c>
      <c r="C332">
        <v>5.31</v>
      </c>
      <c r="D332">
        <v>5.28</v>
      </c>
      <c r="E332">
        <v>5.31</v>
      </c>
      <c r="F332">
        <v>5.37</v>
      </c>
      <c r="G332">
        <v>5.41</v>
      </c>
      <c r="H332">
        <v>2037</v>
      </c>
    </row>
    <row r="333" spans="1:8" x14ac:dyDescent="0.45">
      <c r="A333" t="s">
        <v>1125</v>
      </c>
      <c r="B333" t="s">
        <v>789</v>
      </c>
      <c r="C333">
        <v>5.31</v>
      </c>
      <c r="D333">
        <v>5.28</v>
      </c>
      <c r="E333">
        <v>5.31</v>
      </c>
      <c r="F333">
        <v>5.35</v>
      </c>
      <c r="G333">
        <v>5.39</v>
      </c>
      <c r="H333">
        <v>1975</v>
      </c>
    </row>
    <row r="334" spans="1:8" x14ac:dyDescent="0.45">
      <c r="A334" t="s">
        <v>1126</v>
      </c>
      <c r="B334" t="s">
        <v>789</v>
      </c>
      <c r="C334">
        <v>5.32</v>
      </c>
      <c r="D334">
        <v>5.29</v>
      </c>
      <c r="E334">
        <v>5.31</v>
      </c>
      <c r="F334">
        <v>5.38</v>
      </c>
      <c r="G334">
        <v>5.43</v>
      </c>
      <c r="H334">
        <v>2101</v>
      </c>
    </row>
    <row r="335" spans="1:8" x14ac:dyDescent="0.45">
      <c r="A335" t="s">
        <v>1127</v>
      </c>
      <c r="B335" t="s">
        <v>789</v>
      </c>
      <c r="C335">
        <v>5.32</v>
      </c>
      <c r="D335">
        <v>5.29</v>
      </c>
      <c r="E335">
        <v>5.31</v>
      </c>
      <c r="F335">
        <v>5.38</v>
      </c>
      <c r="G335">
        <v>5.42</v>
      </c>
      <c r="H335">
        <v>2118</v>
      </c>
    </row>
    <row r="336" spans="1:8" x14ac:dyDescent="0.45">
      <c r="A336" t="s">
        <v>1128</v>
      </c>
      <c r="B336" t="s">
        <v>789</v>
      </c>
      <c r="C336">
        <v>5.32</v>
      </c>
      <c r="D336">
        <v>5.29</v>
      </c>
      <c r="E336">
        <v>5.32</v>
      </c>
      <c r="F336">
        <v>5.39</v>
      </c>
      <c r="G336">
        <v>5.43</v>
      </c>
      <c r="H336">
        <v>2131</v>
      </c>
    </row>
    <row r="337" spans="1:8" x14ac:dyDescent="0.45">
      <c r="A337" t="s">
        <v>1129</v>
      </c>
      <c r="B337" t="s">
        <v>789</v>
      </c>
      <c r="C337">
        <v>5.35</v>
      </c>
      <c r="D337">
        <v>5.3</v>
      </c>
      <c r="E337">
        <v>5.32</v>
      </c>
      <c r="F337">
        <v>5.42</v>
      </c>
      <c r="G337">
        <v>5.45</v>
      </c>
      <c r="H337">
        <v>2118</v>
      </c>
    </row>
    <row r="338" spans="1:8" x14ac:dyDescent="0.45">
      <c r="A338" t="s">
        <v>1130</v>
      </c>
      <c r="B338" t="s">
        <v>789</v>
      </c>
      <c r="C338">
        <v>5.33</v>
      </c>
      <c r="D338">
        <v>5.28</v>
      </c>
      <c r="E338">
        <v>5.32</v>
      </c>
      <c r="F338">
        <v>5.39</v>
      </c>
      <c r="G338">
        <v>5.44</v>
      </c>
      <c r="H338">
        <v>2108</v>
      </c>
    </row>
    <row r="339" spans="1:8" x14ac:dyDescent="0.45">
      <c r="A339" t="s">
        <v>1131</v>
      </c>
      <c r="B339" t="s">
        <v>789</v>
      </c>
      <c r="C339">
        <v>5.34</v>
      </c>
      <c r="D339">
        <v>5.3</v>
      </c>
      <c r="E339">
        <v>5.34</v>
      </c>
      <c r="F339">
        <v>5.43</v>
      </c>
      <c r="G339">
        <v>5.48</v>
      </c>
      <c r="H339">
        <v>2082</v>
      </c>
    </row>
    <row r="340" spans="1:8" x14ac:dyDescent="0.45">
      <c r="A340" t="s">
        <v>1132</v>
      </c>
      <c r="B340" t="s">
        <v>789</v>
      </c>
      <c r="C340">
        <v>5.34</v>
      </c>
      <c r="D340">
        <v>5.3</v>
      </c>
      <c r="E340">
        <v>5.33</v>
      </c>
      <c r="F340">
        <v>5.41</v>
      </c>
      <c r="G340">
        <v>5.46</v>
      </c>
      <c r="H340">
        <v>2138</v>
      </c>
    </row>
    <row r="341" spans="1:8" x14ac:dyDescent="0.45">
      <c r="A341" t="s">
        <v>1133</v>
      </c>
      <c r="B341" t="s">
        <v>789</v>
      </c>
      <c r="C341">
        <v>5.34</v>
      </c>
      <c r="D341">
        <v>5.3</v>
      </c>
      <c r="E341">
        <v>5.33</v>
      </c>
      <c r="F341">
        <v>5.42</v>
      </c>
      <c r="G341">
        <v>5.46</v>
      </c>
      <c r="H341">
        <v>2170</v>
      </c>
    </row>
    <row r="342" spans="1:8" x14ac:dyDescent="0.45">
      <c r="A342" t="s">
        <v>1134</v>
      </c>
      <c r="B342" t="s">
        <v>789</v>
      </c>
      <c r="C342">
        <v>5.34</v>
      </c>
      <c r="D342">
        <v>5.3</v>
      </c>
      <c r="E342">
        <v>5.33</v>
      </c>
      <c r="F342">
        <v>5.43</v>
      </c>
      <c r="G342">
        <v>5.47</v>
      </c>
      <c r="H342">
        <v>2196</v>
      </c>
    </row>
    <row r="343" spans="1:8" x14ac:dyDescent="0.45">
      <c r="A343" t="s">
        <v>1135</v>
      </c>
      <c r="B343" t="s">
        <v>789</v>
      </c>
      <c r="C343">
        <v>5.33</v>
      </c>
      <c r="D343">
        <v>5.3</v>
      </c>
      <c r="E343">
        <v>5.32</v>
      </c>
      <c r="F343">
        <v>5.39</v>
      </c>
      <c r="G343">
        <v>5.44</v>
      </c>
      <c r="H343">
        <v>2042</v>
      </c>
    </row>
    <row r="344" spans="1:8" x14ac:dyDescent="0.45">
      <c r="A344" t="s">
        <v>1136</v>
      </c>
      <c r="B344" t="s">
        <v>789</v>
      </c>
      <c r="C344">
        <v>5.33</v>
      </c>
      <c r="D344">
        <v>5.3</v>
      </c>
      <c r="E344">
        <v>5.32</v>
      </c>
      <c r="F344">
        <v>5.4</v>
      </c>
      <c r="G344">
        <v>5.43</v>
      </c>
      <c r="H344">
        <v>2086</v>
      </c>
    </row>
    <row r="345" spans="1:8" x14ac:dyDescent="0.45">
      <c r="A345" t="s">
        <v>1137</v>
      </c>
      <c r="B345" t="s">
        <v>789</v>
      </c>
      <c r="C345">
        <v>5.32</v>
      </c>
      <c r="D345">
        <v>5.29</v>
      </c>
      <c r="E345">
        <v>5.31</v>
      </c>
      <c r="F345">
        <v>5.38</v>
      </c>
      <c r="G345">
        <v>5.42</v>
      </c>
      <c r="H345">
        <v>2199</v>
      </c>
    </row>
    <row r="346" spans="1:8" x14ac:dyDescent="0.45">
      <c r="A346" t="s">
        <v>1138</v>
      </c>
      <c r="B346" t="s">
        <v>789</v>
      </c>
      <c r="C346">
        <v>5.35</v>
      </c>
      <c r="D346">
        <v>5.3</v>
      </c>
      <c r="E346">
        <v>5.33</v>
      </c>
      <c r="F346">
        <v>5.43</v>
      </c>
      <c r="G346">
        <v>5.48</v>
      </c>
      <c r="H346">
        <v>2077</v>
      </c>
    </row>
    <row r="347" spans="1:8" x14ac:dyDescent="0.45">
      <c r="A347" t="s">
        <v>1139</v>
      </c>
      <c r="B347" t="s">
        <v>789</v>
      </c>
      <c r="C347">
        <v>5.35</v>
      </c>
      <c r="D347">
        <v>5.3</v>
      </c>
      <c r="E347">
        <v>5.34</v>
      </c>
      <c r="F347">
        <v>5.46</v>
      </c>
      <c r="G347">
        <v>5.51</v>
      </c>
      <c r="H347">
        <v>2211</v>
      </c>
    </row>
    <row r="348" spans="1:8" x14ac:dyDescent="0.45">
      <c r="A348" t="s">
        <v>1140</v>
      </c>
      <c r="B348" t="s">
        <v>789</v>
      </c>
      <c r="C348">
        <v>5.38</v>
      </c>
      <c r="D348">
        <v>5.3</v>
      </c>
      <c r="E348">
        <v>5.34</v>
      </c>
      <c r="F348">
        <v>5.47</v>
      </c>
      <c r="G348">
        <v>5.51</v>
      </c>
      <c r="H348">
        <v>2185</v>
      </c>
    </row>
    <row r="349" spans="1:8" x14ac:dyDescent="0.45">
      <c r="A349" t="s">
        <v>1141</v>
      </c>
      <c r="B349" t="s">
        <v>789</v>
      </c>
      <c r="C349">
        <v>5.33</v>
      </c>
      <c r="D349">
        <v>5.3</v>
      </c>
      <c r="E349">
        <v>5.32</v>
      </c>
      <c r="F349">
        <v>5.4</v>
      </c>
      <c r="G349">
        <v>5.45</v>
      </c>
      <c r="H349">
        <v>1978</v>
      </c>
    </row>
    <row r="350" spans="1:8" x14ac:dyDescent="0.45">
      <c r="A350" t="s">
        <v>1142</v>
      </c>
      <c r="B350" t="s">
        <v>789</v>
      </c>
      <c r="C350">
        <v>5.33</v>
      </c>
      <c r="D350">
        <v>5.3</v>
      </c>
      <c r="E350">
        <v>5.33</v>
      </c>
      <c r="F350">
        <v>5.41</v>
      </c>
      <c r="G350">
        <v>5.46</v>
      </c>
      <c r="H350">
        <v>1982</v>
      </c>
    </row>
    <row r="351" spans="1:8" x14ac:dyDescent="0.45">
      <c r="A351" t="s">
        <v>1143</v>
      </c>
      <c r="B351" t="s">
        <v>789</v>
      </c>
      <c r="C351">
        <v>5.35</v>
      </c>
      <c r="D351">
        <v>5.3</v>
      </c>
      <c r="E351">
        <v>5.34</v>
      </c>
      <c r="F351">
        <v>5.45</v>
      </c>
      <c r="G351">
        <v>5.5</v>
      </c>
      <c r="H351">
        <v>2027</v>
      </c>
    </row>
    <row r="352" spans="1:8" x14ac:dyDescent="0.45">
      <c r="A352" t="s">
        <v>1144</v>
      </c>
      <c r="B352" t="s">
        <v>789</v>
      </c>
      <c r="C352">
        <v>5.35</v>
      </c>
      <c r="D352">
        <v>5.3</v>
      </c>
      <c r="E352">
        <v>5.34</v>
      </c>
      <c r="F352">
        <v>5.45</v>
      </c>
      <c r="G352">
        <v>5.49</v>
      </c>
      <c r="H352">
        <v>2129</v>
      </c>
    </row>
    <row r="353" spans="1:8" x14ac:dyDescent="0.45">
      <c r="A353" t="s">
        <v>1145</v>
      </c>
      <c r="B353" t="s">
        <v>789</v>
      </c>
      <c r="C353">
        <v>5.34</v>
      </c>
      <c r="D353">
        <v>5.3</v>
      </c>
      <c r="E353">
        <v>5.33</v>
      </c>
      <c r="F353">
        <v>5.42</v>
      </c>
      <c r="G353">
        <v>5.47</v>
      </c>
      <c r="H353">
        <v>2083</v>
      </c>
    </row>
    <row r="354" spans="1:8" x14ac:dyDescent="0.45">
      <c r="A354" t="s">
        <v>1146</v>
      </c>
      <c r="B354" t="s">
        <v>789</v>
      </c>
      <c r="C354">
        <v>5.34</v>
      </c>
      <c r="D354">
        <v>5.3</v>
      </c>
      <c r="E354">
        <v>5.32</v>
      </c>
      <c r="F354">
        <v>5.41</v>
      </c>
      <c r="G354">
        <v>5.45</v>
      </c>
      <c r="H354">
        <v>2011</v>
      </c>
    </row>
    <row r="355" spans="1:8" x14ac:dyDescent="0.45">
      <c r="A355" t="s">
        <v>1147</v>
      </c>
      <c r="B355" t="s">
        <v>789</v>
      </c>
      <c r="C355">
        <v>5.33</v>
      </c>
      <c r="D355">
        <v>5.28</v>
      </c>
      <c r="E355">
        <v>5.32</v>
      </c>
      <c r="F355">
        <v>5.4</v>
      </c>
      <c r="G355">
        <v>5.44</v>
      </c>
      <c r="H355">
        <v>2120</v>
      </c>
    </row>
    <row r="356" spans="1:8" x14ac:dyDescent="0.45">
      <c r="A356" t="s">
        <v>1148</v>
      </c>
      <c r="B356" t="s">
        <v>789</v>
      </c>
      <c r="C356">
        <v>5.34</v>
      </c>
      <c r="D356">
        <v>5.3</v>
      </c>
      <c r="E356">
        <v>5.32</v>
      </c>
      <c r="F356">
        <v>5.41</v>
      </c>
      <c r="G356">
        <v>5.45</v>
      </c>
      <c r="H356">
        <v>1992</v>
      </c>
    </row>
    <row r="357" spans="1:8" x14ac:dyDescent="0.45">
      <c r="A357" t="s">
        <v>1149</v>
      </c>
      <c r="B357" t="s">
        <v>789</v>
      </c>
      <c r="C357">
        <v>5.34</v>
      </c>
      <c r="D357">
        <v>5.3</v>
      </c>
      <c r="E357">
        <v>5.32</v>
      </c>
      <c r="F357">
        <v>5.41</v>
      </c>
      <c r="G357">
        <v>5.46</v>
      </c>
      <c r="H357">
        <v>2014</v>
      </c>
    </row>
    <row r="358" spans="1:8" x14ac:dyDescent="0.45">
      <c r="A358" t="s">
        <v>1150</v>
      </c>
      <c r="B358" t="s">
        <v>789</v>
      </c>
      <c r="C358">
        <v>5.35</v>
      </c>
      <c r="D358">
        <v>5.3</v>
      </c>
      <c r="E358">
        <v>5.34</v>
      </c>
      <c r="F358">
        <v>5.44</v>
      </c>
      <c r="G358">
        <v>5.49</v>
      </c>
      <c r="H358">
        <v>2025</v>
      </c>
    </row>
    <row r="359" spans="1:8" x14ac:dyDescent="0.45">
      <c r="A359" t="s">
        <v>1151</v>
      </c>
      <c r="B359" t="s">
        <v>789</v>
      </c>
      <c r="C359">
        <v>5.35</v>
      </c>
      <c r="D359">
        <v>5.3</v>
      </c>
      <c r="E359">
        <v>5.34</v>
      </c>
      <c r="F359">
        <v>5.45</v>
      </c>
      <c r="G359">
        <v>5.49</v>
      </c>
      <c r="H359">
        <v>2061</v>
      </c>
    </row>
    <row r="360" spans="1:8" x14ac:dyDescent="0.45">
      <c r="A360" t="s">
        <v>1152</v>
      </c>
      <c r="B360" t="s">
        <v>789</v>
      </c>
      <c r="C360">
        <v>5.34</v>
      </c>
      <c r="D360">
        <v>5.3</v>
      </c>
      <c r="E360">
        <v>5.33</v>
      </c>
      <c r="F360">
        <v>5.44</v>
      </c>
      <c r="G360">
        <v>5.48</v>
      </c>
      <c r="H360">
        <v>2175</v>
      </c>
    </row>
    <row r="361" spans="1:8" x14ac:dyDescent="0.45">
      <c r="A361" t="s">
        <v>1153</v>
      </c>
      <c r="B361" t="s">
        <v>789</v>
      </c>
      <c r="C361">
        <v>5.34</v>
      </c>
      <c r="D361">
        <v>5.3</v>
      </c>
      <c r="E361">
        <v>5.32</v>
      </c>
      <c r="F361">
        <v>5.41</v>
      </c>
      <c r="G361">
        <v>5.45</v>
      </c>
      <c r="H361">
        <v>1900</v>
      </c>
    </row>
    <row r="362" spans="1:8" x14ac:dyDescent="0.45">
      <c r="A362" t="s">
        <v>1154</v>
      </c>
      <c r="B362" t="s">
        <v>789</v>
      </c>
      <c r="C362">
        <v>5.34</v>
      </c>
      <c r="D362">
        <v>5.3</v>
      </c>
      <c r="E362">
        <v>5.32</v>
      </c>
      <c r="F362">
        <v>5.41</v>
      </c>
      <c r="G362">
        <v>5.45</v>
      </c>
      <c r="H362">
        <v>1920</v>
      </c>
    </row>
    <row r="363" spans="1:8" x14ac:dyDescent="0.45">
      <c r="A363" t="s">
        <v>1155</v>
      </c>
      <c r="B363" t="s">
        <v>789</v>
      </c>
      <c r="C363">
        <v>5.34</v>
      </c>
      <c r="D363">
        <v>5.3</v>
      </c>
      <c r="E363">
        <v>5.33</v>
      </c>
      <c r="F363">
        <v>5.42</v>
      </c>
      <c r="G363">
        <v>5.46</v>
      </c>
      <c r="H363">
        <v>1949</v>
      </c>
    </row>
    <row r="364" spans="1:8" x14ac:dyDescent="0.45">
      <c r="A364" t="s">
        <v>1156</v>
      </c>
      <c r="B364" t="s">
        <v>789</v>
      </c>
      <c r="C364">
        <v>5.34</v>
      </c>
      <c r="D364">
        <v>5.3</v>
      </c>
      <c r="E364">
        <v>5.33</v>
      </c>
      <c r="F364">
        <v>5.42</v>
      </c>
      <c r="G364">
        <v>5.47</v>
      </c>
      <c r="H364">
        <v>1913</v>
      </c>
    </row>
    <row r="365" spans="1:8" x14ac:dyDescent="0.45">
      <c r="A365" t="s">
        <v>1157</v>
      </c>
      <c r="B365" t="s">
        <v>789</v>
      </c>
      <c r="C365">
        <v>5.32</v>
      </c>
      <c r="D365">
        <v>5.29</v>
      </c>
      <c r="E365">
        <v>5.31</v>
      </c>
      <c r="F365">
        <v>5.39</v>
      </c>
      <c r="G365">
        <v>5.43</v>
      </c>
      <c r="H365">
        <v>2090</v>
      </c>
    </row>
    <row r="366" spans="1:8" x14ac:dyDescent="0.45">
      <c r="A366" t="s">
        <v>1158</v>
      </c>
      <c r="B366" t="s">
        <v>789</v>
      </c>
      <c r="C366">
        <v>5.32</v>
      </c>
      <c r="D366">
        <v>5.29</v>
      </c>
      <c r="E366">
        <v>5.31</v>
      </c>
      <c r="F366">
        <v>5.39</v>
      </c>
      <c r="G366">
        <v>5.44</v>
      </c>
      <c r="H366">
        <v>2126</v>
      </c>
    </row>
    <row r="367" spans="1:8" x14ac:dyDescent="0.45">
      <c r="A367" t="s">
        <v>1159</v>
      </c>
      <c r="B367" t="s">
        <v>789</v>
      </c>
      <c r="C367">
        <v>5.33</v>
      </c>
      <c r="D367">
        <v>5.29</v>
      </c>
      <c r="E367">
        <v>5.32</v>
      </c>
      <c r="F367">
        <v>5.41</v>
      </c>
      <c r="G367">
        <v>5.46</v>
      </c>
      <c r="H367">
        <v>2007</v>
      </c>
    </row>
    <row r="368" spans="1:8" x14ac:dyDescent="0.45">
      <c r="A368" t="s">
        <v>1160</v>
      </c>
      <c r="B368" t="s">
        <v>789</v>
      </c>
      <c r="C368">
        <v>5.35</v>
      </c>
      <c r="D368">
        <v>5.3</v>
      </c>
      <c r="E368">
        <v>5.33</v>
      </c>
      <c r="F368">
        <v>5.46</v>
      </c>
      <c r="G368">
        <v>5.5</v>
      </c>
      <c r="H368">
        <v>2110</v>
      </c>
    </row>
    <row r="369" spans="1:8" x14ac:dyDescent="0.45">
      <c r="A369" t="s">
        <v>1161</v>
      </c>
      <c r="B369" t="s">
        <v>789</v>
      </c>
      <c r="C369">
        <v>5.4</v>
      </c>
      <c r="D369">
        <v>5.29</v>
      </c>
      <c r="E369">
        <v>5.33</v>
      </c>
      <c r="F369">
        <v>5.47</v>
      </c>
      <c r="G369">
        <v>5.51</v>
      </c>
      <c r="H369">
        <v>1967</v>
      </c>
    </row>
    <row r="370" spans="1:8" x14ac:dyDescent="0.45">
      <c r="A370" t="s">
        <v>1162</v>
      </c>
      <c r="B370" t="s">
        <v>789</v>
      </c>
      <c r="C370">
        <v>5.33</v>
      </c>
      <c r="D370">
        <v>5.29</v>
      </c>
      <c r="E370">
        <v>5.32</v>
      </c>
      <c r="F370">
        <v>5.41</v>
      </c>
      <c r="G370">
        <v>5.47</v>
      </c>
      <c r="H370">
        <v>2024</v>
      </c>
    </row>
    <row r="371" spans="1:8" x14ac:dyDescent="0.45">
      <c r="A371" t="s">
        <v>1163</v>
      </c>
      <c r="B371" t="s">
        <v>789</v>
      </c>
      <c r="C371">
        <v>5.34</v>
      </c>
      <c r="D371">
        <v>5.29</v>
      </c>
      <c r="E371">
        <v>5.32</v>
      </c>
      <c r="F371">
        <v>5.41</v>
      </c>
      <c r="G371">
        <v>5.48</v>
      </c>
      <c r="H371">
        <v>1888</v>
      </c>
    </row>
    <row r="372" spans="1:8" x14ac:dyDescent="0.45">
      <c r="A372" t="s">
        <v>1164</v>
      </c>
      <c r="B372" t="s">
        <v>789</v>
      </c>
      <c r="C372">
        <v>5.34</v>
      </c>
      <c r="D372">
        <v>5.3</v>
      </c>
      <c r="E372">
        <v>5.33</v>
      </c>
      <c r="F372">
        <v>5.45</v>
      </c>
      <c r="G372">
        <v>5.5</v>
      </c>
      <c r="H372">
        <v>1897</v>
      </c>
    </row>
    <row r="373" spans="1:8" x14ac:dyDescent="0.45">
      <c r="A373" t="s">
        <v>1165</v>
      </c>
      <c r="B373" t="s">
        <v>789</v>
      </c>
      <c r="C373">
        <v>5.33</v>
      </c>
      <c r="D373">
        <v>5.3</v>
      </c>
      <c r="E373">
        <v>5.32</v>
      </c>
      <c r="F373">
        <v>5.41</v>
      </c>
      <c r="G373">
        <v>5.46</v>
      </c>
      <c r="H373">
        <v>1968</v>
      </c>
    </row>
    <row r="374" spans="1:8" x14ac:dyDescent="0.45">
      <c r="A374" t="s">
        <v>1166</v>
      </c>
      <c r="B374" t="s">
        <v>789</v>
      </c>
      <c r="C374">
        <v>5.31</v>
      </c>
      <c r="D374">
        <v>5.28</v>
      </c>
      <c r="E374">
        <v>5.3</v>
      </c>
      <c r="F374">
        <v>5.36</v>
      </c>
      <c r="G374">
        <v>5.4</v>
      </c>
      <c r="H374">
        <v>1992</v>
      </c>
    </row>
    <row r="375" spans="1:8" x14ac:dyDescent="0.45">
      <c r="A375" t="s">
        <v>1167</v>
      </c>
      <c r="B375" t="s">
        <v>789</v>
      </c>
      <c r="C375">
        <v>5.31</v>
      </c>
      <c r="D375">
        <v>5.28</v>
      </c>
      <c r="E375">
        <v>5.3</v>
      </c>
      <c r="F375">
        <v>5.35</v>
      </c>
      <c r="G375">
        <v>5.41</v>
      </c>
      <c r="H375">
        <v>1991</v>
      </c>
    </row>
    <row r="376" spans="1:8" x14ac:dyDescent="0.45">
      <c r="A376" t="s">
        <v>1168</v>
      </c>
      <c r="B376" t="s">
        <v>789</v>
      </c>
      <c r="C376">
        <v>5.32</v>
      </c>
      <c r="D376">
        <v>5.27</v>
      </c>
      <c r="E376">
        <v>5.31</v>
      </c>
      <c r="F376">
        <v>5.37</v>
      </c>
      <c r="G376">
        <v>5.42</v>
      </c>
      <c r="H376">
        <v>2052</v>
      </c>
    </row>
    <row r="377" spans="1:8" x14ac:dyDescent="0.45">
      <c r="A377" t="s">
        <v>1169</v>
      </c>
      <c r="B377" t="s">
        <v>789</v>
      </c>
      <c r="C377">
        <v>5.33</v>
      </c>
      <c r="D377">
        <v>5.29</v>
      </c>
      <c r="E377">
        <v>5.32</v>
      </c>
      <c r="F377">
        <v>5.4</v>
      </c>
      <c r="G377">
        <v>5.45</v>
      </c>
      <c r="H377">
        <v>2021</v>
      </c>
    </row>
    <row r="378" spans="1:8" x14ac:dyDescent="0.45">
      <c r="A378" t="s">
        <v>1170</v>
      </c>
      <c r="B378" t="s">
        <v>789</v>
      </c>
      <c r="C378">
        <v>5.33</v>
      </c>
      <c r="D378">
        <v>5.3</v>
      </c>
      <c r="E378">
        <v>5.32</v>
      </c>
      <c r="F378">
        <v>5.41</v>
      </c>
      <c r="G378">
        <v>5.46</v>
      </c>
      <c r="H378">
        <v>1975</v>
      </c>
    </row>
    <row r="379" spans="1:8" x14ac:dyDescent="0.45">
      <c r="A379" t="s">
        <v>1171</v>
      </c>
      <c r="B379" t="s">
        <v>789</v>
      </c>
      <c r="C379">
        <v>5.31</v>
      </c>
      <c r="D379">
        <v>5.28</v>
      </c>
      <c r="E379">
        <v>5.31</v>
      </c>
      <c r="F379">
        <v>5.37</v>
      </c>
      <c r="G379">
        <v>5.41</v>
      </c>
      <c r="H379">
        <v>1855</v>
      </c>
    </row>
    <row r="380" spans="1:8" x14ac:dyDescent="0.45">
      <c r="A380" t="s">
        <v>1172</v>
      </c>
      <c r="B380" t="s">
        <v>789</v>
      </c>
      <c r="C380">
        <v>5.31</v>
      </c>
      <c r="D380">
        <v>5.29</v>
      </c>
      <c r="E380">
        <v>5.3</v>
      </c>
      <c r="F380">
        <v>5.36</v>
      </c>
      <c r="G380">
        <v>5.41</v>
      </c>
      <c r="H380">
        <v>2035</v>
      </c>
    </row>
    <row r="381" spans="1:8" x14ac:dyDescent="0.45">
      <c r="A381" t="s">
        <v>1173</v>
      </c>
      <c r="B381" t="s">
        <v>789</v>
      </c>
      <c r="C381">
        <v>5.31</v>
      </c>
      <c r="D381">
        <v>5.28</v>
      </c>
      <c r="E381">
        <v>5.3</v>
      </c>
      <c r="F381">
        <v>5.35</v>
      </c>
      <c r="G381">
        <v>5.41</v>
      </c>
      <c r="H381">
        <v>1957</v>
      </c>
    </row>
    <row r="382" spans="1:8" x14ac:dyDescent="0.45">
      <c r="A382" t="s">
        <v>1174</v>
      </c>
      <c r="B382" t="s">
        <v>789</v>
      </c>
      <c r="C382">
        <v>5.32</v>
      </c>
      <c r="D382">
        <v>5.28</v>
      </c>
      <c r="E382">
        <v>5.31</v>
      </c>
      <c r="F382">
        <v>5.37</v>
      </c>
      <c r="G382">
        <v>5.42</v>
      </c>
      <c r="H382">
        <v>1946</v>
      </c>
    </row>
    <row r="383" spans="1:8" x14ac:dyDescent="0.45">
      <c r="A383" t="s">
        <v>1175</v>
      </c>
      <c r="B383" t="s">
        <v>789</v>
      </c>
      <c r="C383">
        <v>5.32</v>
      </c>
      <c r="D383">
        <v>5.27</v>
      </c>
      <c r="E383">
        <v>5.32</v>
      </c>
      <c r="F383">
        <v>5.38</v>
      </c>
      <c r="G383">
        <v>5.43</v>
      </c>
      <c r="H383">
        <v>1847</v>
      </c>
    </row>
    <row r="384" spans="1:8" x14ac:dyDescent="0.45">
      <c r="A384" t="s">
        <v>1176</v>
      </c>
      <c r="B384" t="s">
        <v>789</v>
      </c>
      <c r="C384">
        <v>5.33</v>
      </c>
      <c r="D384">
        <v>5.29</v>
      </c>
      <c r="E384">
        <v>5.32</v>
      </c>
      <c r="F384">
        <v>5.4</v>
      </c>
      <c r="G384">
        <v>5.44</v>
      </c>
      <c r="H384">
        <v>1934</v>
      </c>
    </row>
    <row r="385" spans="1:8" x14ac:dyDescent="0.45">
      <c r="A385" t="s">
        <v>1177</v>
      </c>
      <c r="B385" t="s">
        <v>789</v>
      </c>
      <c r="C385">
        <v>5.33</v>
      </c>
      <c r="D385">
        <v>5.29</v>
      </c>
      <c r="E385">
        <v>5.32</v>
      </c>
      <c r="F385">
        <v>5.4</v>
      </c>
      <c r="G385">
        <v>5.44</v>
      </c>
      <c r="H385">
        <v>2008</v>
      </c>
    </row>
    <row r="386" spans="1:8" x14ac:dyDescent="0.45">
      <c r="A386" t="s">
        <v>1178</v>
      </c>
      <c r="B386" t="s">
        <v>789</v>
      </c>
      <c r="C386">
        <v>5.33</v>
      </c>
      <c r="D386">
        <v>5.3</v>
      </c>
      <c r="E386">
        <v>5.32</v>
      </c>
      <c r="F386">
        <v>5.39</v>
      </c>
      <c r="G386">
        <v>5.43</v>
      </c>
      <c r="H386">
        <v>1989</v>
      </c>
    </row>
    <row r="387" spans="1:8" x14ac:dyDescent="0.45">
      <c r="A387" t="s">
        <v>1179</v>
      </c>
      <c r="B387" t="s">
        <v>789</v>
      </c>
      <c r="C387">
        <v>5.33</v>
      </c>
      <c r="D387">
        <v>5.29</v>
      </c>
      <c r="E387">
        <v>5.32</v>
      </c>
      <c r="F387">
        <v>5.4</v>
      </c>
      <c r="G387">
        <v>5.44</v>
      </c>
      <c r="H387">
        <v>2092</v>
      </c>
    </row>
    <row r="388" spans="1:8" x14ac:dyDescent="0.45">
      <c r="A388" t="s">
        <v>1180</v>
      </c>
      <c r="B388" t="s">
        <v>789</v>
      </c>
      <c r="C388">
        <v>5.35</v>
      </c>
      <c r="D388">
        <v>5.29</v>
      </c>
      <c r="E388">
        <v>5.32</v>
      </c>
      <c r="F388">
        <v>5.4</v>
      </c>
      <c r="G388">
        <v>5.44</v>
      </c>
      <c r="H388">
        <v>1912</v>
      </c>
    </row>
    <row r="389" spans="1:8" x14ac:dyDescent="0.45">
      <c r="A389" t="s">
        <v>1181</v>
      </c>
      <c r="B389" t="s">
        <v>789</v>
      </c>
      <c r="C389">
        <v>5.34</v>
      </c>
      <c r="D389">
        <v>5.3</v>
      </c>
      <c r="E389">
        <v>5.33</v>
      </c>
      <c r="F389">
        <v>5.43</v>
      </c>
      <c r="G389">
        <v>5.48</v>
      </c>
      <c r="H389">
        <v>2061</v>
      </c>
    </row>
    <row r="390" spans="1:8" x14ac:dyDescent="0.45">
      <c r="A390" t="s">
        <v>1182</v>
      </c>
      <c r="B390" t="s">
        <v>789</v>
      </c>
      <c r="C390">
        <v>5.33</v>
      </c>
      <c r="D390">
        <v>5.29</v>
      </c>
      <c r="E390">
        <v>5.32</v>
      </c>
      <c r="F390">
        <v>5.4</v>
      </c>
      <c r="G390">
        <v>5.46</v>
      </c>
      <c r="H390">
        <v>1824</v>
      </c>
    </row>
    <row r="391" spans="1:8" x14ac:dyDescent="0.45">
      <c r="A391" t="s">
        <v>1183</v>
      </c>
      <c r="B391" t="s">
        <v>789</v>
      </c>
      <c r="C391">
        <v>5.33</v>
      </c>
      <c r="D391">
        <v>5.28</v>
      </c>
      <c r="E391">
        <v>5.32</v>
      </c>
      <c r="F391">
        <v>5.4</v>
      </c>
      <c r="G391">
        <v>5.44</v>
      </c>
      <c r="H391">
        <v>1807</v>
      </c>
    </row>
    <row r="392" spans="1:8" x14ac:dyDescent="0.45">
      <c r="A392" t="s">
        <v>1184</v>
      </c>
      <c r="B392" t="s">
        <v>789</v>
      </c>
      <c r="C392">
        <v>5.32</v>
      </c>
      <c r="D392">
        <v>5.28</v>
      </c>
      <c r="E392">
        <v>5.31</v>
      </c>
      <c r="F392">
        <v>5.39</v>
      </c>
      <c r="G392">
        <v>5.43</v>
      </c>
      <c r="H392">
        <v>2013</v>
      </c>
    </row>
    <row r="393" spans="1:8" x14ac:dyDescent="0.45">
      <c r="A393" t="s">
        <v>1185</v>
      </c>
      <c r="B393" t="s">
        <v>789</v>
      </c>
      <c r="C393">
        <v>5.32</v>
      </c>
      <c r="D393">
        <v>5.28</v>
      </c>
      <c r="E393">
        <v>5.31</v>
      </c>
      <c r="F393">
        <v>5.37</v>
      </c>
      <c r="G393">
        <v>5.41</v>
      </c>
      <c r="H393">
        <v>1909</v>
      </c>
    </row>
    <row r="394" spans="1:8" x14ac:dyDescent="0.45">
      <c r="A394" t="s">
        <v>1186</v>
      </c>
      <c r="B394" t="s">
        <v>789</v>
      </c>
      <c r="C394">
        <v>5.31</v>
      </c>
      <c r="D394">
        <v>5.28</v>
      </c>
      <c r="E394">
        <v>5.3</v>
      </c>
      <c r="F394">
        <v>5.35</v>
      </c>
      <c r="G394">
        <v>5.39</v>
      </c>
      <c r="H394">
        <v>1916</v>
      </c>
    </row>
    <row r="395" spans="1:8" x14ac:dyDescent="0.45">
      <c r="A395" t="s">
        <v>1187</v>
      </c>
      <c r="B395" t="s">
        <v>789</v>
      </c>
      <c r="C395">
        <v>5.31</v>
      </c>
      <c r="D395">
        <v>5.28</v>
      </c>
      <c r="E395">
        <v>5.3</v>
      </c>
      <c r="F395">
        <v>5.35</v>
      </c>
      <c r="G395">
        <v>5.39</v>
      </c>
      <c r="H395">
        <v>1900</v>
      </c>
    </row>
    <row r="396" spans="1:8" x14ac:dyDescent="0.45">
      <c r="A396" t="s">
        <v>1188</v>
      </c>
      <c r="B396" t="s">
        <v>789</v>
      </c>
      <c r="C396">
        <v>5.31</v>
      </c>
      <c r="D396">
        <v>5.28</v>
      </c>
      <c r="E396">
        <v>5.3</v>
      </c>
      <c r="F396">
        <v>5.35</v>
      </c>
      <c r="G396">
        <v>5.39</v>
      </c>
      <c r="H396">
        <v>1929</v>
      </c>
    </row>
    <row r="397" spans="1:8" x14ac:dyDescent="0.45">
      <c r="A397" t="s">
        <v>1189</v>
      </c>
      <c r="B397" t="s">
        <v>789</v>
      </c>
      <c r="C397">
        <v>5.31</v>
      </c>
      <c r="D397">
        <v>5.28</v>
      </c>
      <c r="E397">
        <v>5.3</v>
      </c>
      <c r="F397">
        <v>5.35</v>
      </c>
      <c r="G397">
        <v>5.39</v>
      </c>
      <c r="H397">
        <v>1866</v>
      </c>
    </row>
    <row r="398" spans="1:8" x14ac:dyDescent="0.45">
      <c r="A398" t="s">
        <v>1190</v>
      </c>
      <c r="B398" t="s">
        <v>789</v>
      </c>
      <c r="C398">
        <v>5.31</v>
      </c>
      <c r="D398">
        <v>5.28</v>
      </c>
      <c r="E398">
        <v>5.3</v>
      </c>
      <c r="F398">
        <v>5.35</v>
      </c>
      <c r="G398">
        <v>5.39</v>
      </c>
      <c r="H398">
        <v>1964</v>
      </c>
    </row>
    <row r="399" spans="1:8" x14ac:dyDescent="0.45">
      <c r="A399" t="s">
        <v>1191</v>
      </c>
      <c r="B399" t="s">
        <v>789</v>
      </c>
      <c r="C399">
        <v>5.31</v>
      </c>
      <c r="D399">
        <v>5.28</v>
      </c>
      <c r="E399">
        <v>5.3</v>
      </c>
      <c r="F399">
        <v>5.35</v>
      </c>
      <c r="G399">
        <v>5.41</v>
      </c>
      <c r="H399">
        <v>2001</v>
      </c>
    </row>
    <row r="400" spans="1:8" x14ac:dyDescent="0.45">
      <c r="A400" t="s">
        <v>1192</v>
      </c>
      <c r="B400" t="s">
        <v>789</v>
      </c>
      <c r="C400">
        <v>5.31</v>
      </c>
      <c r="D400">
        <v>5.28</v>
      </c>
      <c r="E400">
        <v>5.3</v>
      </c>
      <c r="F400">
        <v>5.34</v>
      </c>
      <c r="G400">
        <v>5.38</v>
      </c>
      <c r="H400">
        <v>1936</v>
      </c>
    </row>
    <row r="401" spans="1:8" x14ac:dyDescent="0.45">
      <c r="A401" t="s">
        <v>1193</v>
      </c>
      <c r="B401" t="s">
        <v>789</v>
      </c>
      <c r="C401">
        <v>5.31</v>
      </c>
      <c r="D401">
        <v>5.28</v>
      </c>
      <c r="E401">
        <v>5.3</v>
      </c>
      <c r="F401">
        <v>5.34</v>
      </c>
      <c r="G401">
        <v>5.38</v>
      </c>
      <c r="H401">
        <v>1838</v>
      </c>
    </row>
    <row r="402" spans="1:8" x14ac:dyDescent="0.45">
      <c r="A402" t="s">
        <v>1194</v>
      </c>
      <c r="B402" t="s">
        <v>789</v>
      </c>
      <c r="C402">
        <v>5.31</v>
      </c>
      <c r="D402">
        <v>5.27</v>
      </c>
      <c r="E402">
        <v>5.3</v>
      </c>
      <c r="F402">
        <v>5.33</v>
      </c>
      <c r="G402">
        <v>5.38</v>
      </c>
      <c r="H402">
        <v>1805</v>
      </c>
    </row>
    <row r="403" spans="1:8" x14ac:dyDescent="0.45">
      <c r="A403" t="s">
        <v>1195</v>
      </c>
      <c r="B403" t="s">
        <v>789</v>
      </c>
      <c r="C403">
        <v>5.31</v>
      </c>
      <c r="D403">
        <v>5.28</v>
      </c>
      <c r="E403">
        <v>5.3</v>
      </c>
      <c r="F403">
        <v>5.34</v>
      </c>
      <c r="G403">
        <v>5.39</v>
      </c>
      <c r="H403">
        <v>1816</v>
      </c>
    </row>
    <row r="404" spans="1:8" x14ac:dyDescent="0.45">
      <c r="A404" t="s">
        <v>1196</v>
      </c>
      <c r="B404" t="s">
        <v>789</v>
      </c>
      <c r="C404">
        <v>5.31</v>
      </c>
      <c r="D404">
        <v>5.28</v>
      </c>
      <c r="E404">
        <v>5.3</v>
      </c>
      <c r="F404">
        <v>5.35</v>
      </c>
      <c r="G404">
        <v>5.39</v>
      </c>
      <c r="H404">
        <v>1871</v>
      </c>
    </row>
    <row r="405" spans="1:8" x14ac:dyDescent="0.45">
      <c r="A405" t="s">
        <v>1197</v>
      </c>
      <c r="B405" t="s">
        <v>789</v>
      </c>
      <c r="C405">
        <v>5.31</v>
      </c>
      <c r="D405">
        <v>5.27</v>
      </c>
      <c r="E405">
        <v>5.3</v>
      </c>
      <c r="F405">
        <v>5.35</v>
      </c>
      <c r="G405">
        <v>5.39</v>
      </c>
      <c r="H405">
        <v>1845</v>
      </c>
    </row>
    <row r="406" spans="1:8" x14ac:dyDescent="0.45">
      <c r="A406" t="s">
        <v>1198</v>
      </c>
      <c r="B406" t="s">
        <v>789</v>
      </c>
      <c r="C406">
        <v>5.31</v>
      </c>
      <c r="D406">
        <v>5.28</v>
      </c>
      <c r="E406">
        <v>5.3</v>
      </c>
      <c r="F406">
        <v>5.35</v>
      </c>
      <c r="G406">
        <v>5.4</v>
      </c>
      <c r="H406">
        <v>1864</v>
      </c>
    </row>
    <row r="407" spans="1:8" x14ac:dyDescent="0.45">
      <c r="A407" t="s">
        <v>1199</v>
      </c>
      <c r="B407" t="s">
        <v>789</v>
      </c>
      <c r="C407">
        <v>5.31</v>
      </c>
      <c r="D407">
        <v>5.28</v>
      </c>
      <c r="E407">
        <v>5.3</v>
      </c>
      <c r="F407">
        <v>5.35</v>
      </c>
      <c r="G407">
        <v>5.4</v>
      </c>
      <c r="H407">
        <v>1855</v>
      </c>
    </row>
    <row r="408" spans="1:8" x14ac:dyDescent="0.45">
      <c r="A408" t="s">
        <v>1200</v>
      </c>
      <c r="B408" t="s">
        <v>789</v>
      </c>
      <c r="C408">
        <v>5.31</v>
      </c>
      <c r="D408">
        <v>5.28</v>
      </c>
      <c r="E408">
        <v>5.3</v>
      </c>
      <c r="F408">
        <v>5.35</v>
      </c>
      <c r="G408">
        <v>5.4</v>
      </c>
      <c r="H408">
        <v>1863</v>
      </c>
    </row>
    <row r="409" spans="1:8" x14ac:dyDescent="0.45">
      <c r="A409" t="s">
        <v>1201</v>
      </c>
      <c r="B409" t="s">
        <v>789</v>
      </c>
      <c r="C409">
        <v>5.31</v>
      </c>
      <c r="D409">
        <v>5.28</v>
      </c>
      <c r="E409">
        <v>5.31</v>
      </c>
      <c r="F409">
        <v>5.36</v>
      </c>
      <c r="G409">
        <v>5.41</v>
      </c>
      <c r="H409">
        <v>1838</v>
      </c>
    </row>
    <row r="410" spans="1:8" x14ac:dyDescent="0.45">
      <c r="A410" t="s">
        <v>1202</v>
      </c>
      <c r="B410" t="s">
        <v>789</v>
      </c>
      <c r="C410">
        <v>5.32</v>
      </c>
      <c r="D410">
        <v>5.28</v>
      </c>
      <c r="E410">
        <v>5.31</v>
      </c>
      <c r="F410">
        <v>5.38</v>
      </c>
      <c r="G410">
        <v>5.43</v>
      </c>
      <c r="H410">
        <v>1955</v>
      </c>
    </row>
    <row r="411" spans="1:8" x14ac:dyDescent="0.45">
      <c r="A411" t="s">
        <v>1203</v>
      </c>
      <c r="B411" t="s">
        <v>789</v>
      </c>
      <c r="C411">
        <v>5.34</v>
      </c>
      <c r="D411">
        <v>5.29</v>
      </c>
      <c r="E411">
        <v>5.31</v>
      </c>
      <c r="F411">
        <v>5.4</v>
      </c>
      <c r="G411">
        <v>5.5</v>
      </c>
      <c r="H411">
        <v>1831</v>
      </c>
    </row>
    <row r="412" spans="1:8" x14ac:dyDescent="0.45">
      <c r="A412" t="s">
        <v>1204</v>
      </c>
      <c r="B412" t="s">
        <v>789</v>
      </c>
      <c r="C412">
        <v>5.32</v>
      </c>
      <c r="D412">
        <v>5.28</v>
      </c>
      <c r="E412">
        <v>5.31</v>
      </c>
      <c r="F412">
        <v>5.38</v>
      </c>
      <c r="G412">
        <v>5.43</v>
      </c>
      <c r="H412">
        <v>1781</v>
      </c>
    </row>
    <row r="413" spans="1:8" x14ac:dyDescent="0.45">
      <c r="A413" t="s">
        <v>1205</v>
      </c>
      <c r="B413" t="s">
        <v>789</v>
      </c>
      <c r="C413">
        <v>5.32</v>
      </c>
      <c r="D413">
        <v>5.28</v>
      </c>
      <c r="E413">
        <v>5.31</v>
      </c>
      <c r="F413">
        <v>5.38</v>
      </c>
      <c r="G413">
        <v>5.43</v>
      </c>
      <c r="H413">
        <v>1795</v>
      </c>
    </row>
    <row r="414" spans="1:8" x14ac:dyDescent="0.45">
      <c r="A414" t="s">
        <v>1206</v>
      </c>
      <c r="B414" t="s">
        <v>789</v>
      </c>
      <c r="C414">
        <v>5.31</v>
      </c>
      <c r="D414">
        <v>5.28</v>
      </c>
      <c r="E414">
        <v>5.31</v>
      </c>
      <c r="F414">
        <v>5.37</v>
      </c>
      <c r="G414">
        <v>5.42</v>
      </c>
      <c r="H414">
        <v>1774</v>
      </c>
    </row>
    <row r="415" spans="1:8" x14ac:dyDescent="0.45">
      <c r="A415" t="s">
        <v>1207</v>
      </c>
      <c r="B415" t="s">
        <v>789</v>
      </c>
      <c r="C415">
        <v>5.31</v>
      </c>
      <c r="D415">
        <v>5.28</v>
      </c>
      <c r="E415">
        <v>5.3</v>
      </c>
      <c r="F415">
        <v>5.35</v>
      </c>
      <c r="G415">
        <v>5.4</v>
      </c>
      <c r="H415">
        <v>1778</v>
      </c>
    </row>
    <row r="416" spans="1:8" x14ac:dyDescent="0.45">
      <c r="A416" t="s">
        <v>1208</v>
      </c>
      <c r="B416" t="s">
        <v>789</v>
      </c>
      <c r="C416">
        <v>5.31</v>
      </c>
      <c r="D416">
        <v>5.27</v>
      </c>
      <c r="E416">
        <v>5.3</v>
      </c>
      <c r="F416">
        <v>5.34</v>
      </c>
      <c r="G416">
        <v>5.39</v>
      </c>
      <c r="H416">
        <v>1757</v>
      </c>
    </row>
    <row r="417" spans="1:8" x14ac:dyDescent="0.45">
      <c r="A417" t="s">
        <v>1209</v>
      </c>
      <c r="B417" t="s">
        <v>789</v>
      </c>
      <c r="C417">
        <v>5.31</v>
      </c>
      <c r="D417">
        <v>5.27</v>
      </c>
      <c r="E417">
        <v>5.3</v>
      </c>
      <c r="F417">
        <v>5.34</v>
      </c>
      <c r="G417">
        <v>5.38</v>
      </c>
      <c r="H417">
        <v>1746</v>
      </c>
    </row>
    <row r="418" spans="1:8" x14ac:dyDescent="0.45">
      <c r="A418" t="s">
        <v>1210</v>
      </c>
      <c r="B418" t="s">
        <v>789</v>
      </c>
      <c r="C418">
        <v>5.31</v>
      </c>
      <c r="D418">
        <v>5.27</v>
      </c>
      <c r="E418">
        <v>5.3</v>
      </c>
      <c r="F418">
        <v>5.34</v>
      </c>
      <c r="G418">
        <v>5.38</v>
      </c>
      <c r="H418">
        <v>1780</v>
      </c>
    </row>
    <row r="419" spans="1:8" x14ac:dyDescent="0.45">
      <c r="A419" t="s">
        <v>1211</v>
      </c>
      <c r="B419" t="s">
        <v>789</v>
      </c>
      <c r="C419">
        <v>5.3</v>
      </c>
      <c r="D419">
        <v>5.28</v>
      </c>
      <c r="E419">
        <v>5.3</v>
      </c>
      <c r="F419">
        <v>5.33</v>
      </c>
      <c r="G419">
        <v>5.39</v>
      </c>
      <c r="H419">
        <v>1764</v>
      </c>
    </row>
    <row r="420" spans="1:8" x14ac:dyDescent="0.45">
      <c r="A420" t="s">
        <v>1212</v>
      </c>
      <c r="B420" t="s">
        <v>789</v>
      </c>
      <c r="C420">
        <v>5.31</v>
      </c>
      <c r="D420">
        <v>5.27</v>
      </c>
      <c r="E420">
        <v>5.3</v>
      </c>
      <c r="F420">
        <v>5.33</v>
      </c>
      <c r="G420">
        <v>5.39</v>
      </c>
      <c r="H420">
        <v>1731</v>
      </c>
    </row>
    <row r="421" spans="1:8" x14ac:dyDescent="0.45">
      <c r="A421" t="s">
        <v>1213</v>
      </c>
      <c r="B421" t="s">
        <v>789</v>
      </c>
      <c r="C421">
        <v>5.31</v>
      </c>
      <c r="D421">
        <v>5.28</v>
      </c>
      <c r="E421">
        <v>5.31</v>
      </c>
      <c r="F421">
        <v>5.36</v>
      </c>
      <c r="G421">
        <v>5.41</v>
      </c>
      <c r="H421">
        <v>1809</v>
      </c>
    </row>
    <row r="422" spans="1:8" x14ac:dyDescent="0.45">
      <c r="A422" t="s">
        <v>1214</v>
      </c>
      <c r="B422" t="s">
        <v>789</v>
      </c>
      <c r="C422">
        <v>5.32</v>
      </c>
      <c r="D422">
        <v>5.28</v>
      </c>
      <c r="E422">
        <v>5.31</v>
      </c>
      <c r="F422">
        <v>5.39</v>
      </c>
      <c r="G422">
        <v>5.43</v>
      </c>
      <c r="H422">
        <v>1938</v>
      </c>
    </row>
    <row r="423" spans="1:8" x14ac:dyDescent="0.45">
      <c r="A423" t="s">
        <v>1215</v>
      </c>
      <c r="B423" t="s">
        <v>789</v>
      </c>
      <c r="C423">
        <v>5.31</v>
      </c>
      <c r="D423">
        <v>5.27</v>
      </c>
      <c r="E423">
        <v>5.3</v>
      </c>
      <c r="F423">
        <v>5.35</v>
      </c>
      <c r="G423">
        <v>5.4</v>
      </c>
      <c r="H423">
        <v>1805</v>
      </c>
    </row>
    <row r="424" spans="1:8" x14ac:dyDescent="0.45">
      <c r="A424" t="s">
        <v>1216</v>
      </c>
      <c r="B424" t="s">
        <v>789</v>
      </c>
      <c r="C424">
        <v>5.31</v>
      </c>
      <c r="D424">
        <v>5.28</v>
      </c>
      <c r="E424">
        <v>5.3</v>
      </c>
      <c r="F424">
        <v>5.35</v>
      </c>
      <c r="G424">
        <v>5.39</v>
      </c>
      <c r="H424">
        <v>1857</v>
      </c>
    </row>
    <row r="425" spans="1:8" x14ac:dyDescent="0.45">
      <c r="A425" t="s">
        <v>1217</v>
      </c>
      <c r="B425" t="s">
        <v>789</v>
      </c>
      <c r="C425">
        <v>5.31</v>
      </c>
      <c r="D425">
        <v>5.28</v>
      </c>
      <c r="E425">
        <v>5.3</v>
      </c>
      <c r="F425">
        <v>5.35</v>
      </c>
      <c r="G425">
        <v>5.39</v>
      </c>
      <c r="H425">
        <v>1909</v>
      </c>
    </row>
    <row r="426" spans="1:8" x14ac:dyDescent="0.45">
      <c r="A426" t="s">
        <v>1218</v>
      </c>
      <c r="B426" t="s">
        <v>789</v>
      </c>
      <c r="C426">
        <v>5.31</v>
      </c>
      <c r="D426">
        <v>5.28</v>
      </c>
      <c r="E426">
        <v>5.31</v>
      </c>
      <c r="F426">
        <v>5.35</v>
      </c>
      <c r="G426">
        <v>5.4</v>
      </c>
      <c r="H426">
        <v>1826</v>
      </c>
    </row>
    <row r="427" spans="1:8" x14ac:dyDescent="0.45">
      <c r="A427" t="s">
        <v>1219</v>
      </c>
      <c r="B427" t="s">
        <v>789</v>
      </c>
      <c r="C427">
        <v>5.31</v>
      </c>
      <c r="D427">
        <v>5.28</v>
      </c>
      <c r="E427">
        <v>5.31</v>
      </c>
      <c r="F427">
        <v>5.36</v>
      </c>
      <c r="G427">
        <v>5.41</v>
      </c>
      <c r="H427">
        <v>1807</v>
      </c>
    </row>
    <row r="428" spans="1:8" x14ac:dyDescent="0.45">
      <c r="A428" t="s">
        <v>1220</v>
      </c>
      <c r="B428" t="s">
        <v>789</v>
      </c>
      <c r="C428">
        <v>5.32</v>
      </c>
      <c r="D428">
        <v>5.28</v>
      </c>
      <c r="E428">
        <v>5.31</v>
      </c>
      <c r="F428">
        <v>5.38</v>
      </c>
      <c r="G428">
        <v>5.42</v>
      </c>
      <c r="H428">
        <v>1898</v>
      </c>
    </row>
    <row r="429" spans="1:8" x14ac:dyDescent="0.45">
      <c r="A429" t="s">
        <v>1221</v>
      </c>
      <c r="B429" t="s">
        <v>789</v>
      </c>
      <c r="C429">
        <v>5.32</v>
      </c>
      <c r="D429">
        <v>5.28</v>
      </c>
      <c r="E429">
        <v>5.31</v>
      </c>
      <c r="F429">
        <v>5.37</v>
      </c>
      <c r="G429">
        <v>5.41</v>
      </c>
      <c r="H429">
        <v>1974</v>
      </c>
    </row>
    <row r="430" spans="1:8" x14ac:dyDescent="0.45">
      <c r="A430" t="s">
        <v>1222</v>
      </c>
      <c r="B430" t="s">
        <v>789</v>
      </c>
      <c r="C430">
        <v>5.32</v>
      </c>
      <c r="D430">
        <v>5.28</v>
      </c>
      <c r="E430">
        <v>5.31</v>
      </c>
      <c r="F430">
        <v>5.38</v>
      </c>
      <c r="G430">
        <v>5.43</v>
      </c>
      <c r="H430">
        <v>1985</v>
      </c>
    </row>
    <row r="431" spans="1:8" x14ac:dyDescent="0.45">
      <c r="A431" t="s">
        <v>1223</v>
      </c>
      <c r="B431" t="s">
        <v>789</v>
      </c>
      <c r="C431">
        <v>5.34</v>
      </c>
      <c r="D431">
        <v>5.3</v>
      </c>
      <c r="E431">
        <v>5.33</v>
      </c>
      <c r="F431">
        <v>5.45</v>
      </c>
      <c r="G431">
        <v>5.5</v>
      </c>
      <c r="H431">
        <v>1927</v>
      </c>
    </row>
    <row r="432" spans="1:8" x14ac:dyDescent="0.45">
      <c r="A432" t="s">
        <v>1224</v>
      </c>
      <c r="B432" t="s">
        <v>789</v>
      </c>
      <c r="C432">
        <v>5.35</v>
      </c>
      <c r="D432">
        <v>5.3</v>
      </c>
      <c r="E432">
        <v>5.33</v>
      </c>
      <c r="F432">
        <v>5.47</v>
      </c>
      <c r="G432">
        <v>5.51</v>
      </c>
      <c r="H432">
        <v>2023</v>
      </c>
    </row>
    <row r="433" spans="1:8" x14ac:dyDescent="0.45">
      <c r="A433" t="s">
        <v>1225</v>
      </c>
      <c r="B433" t="s">
        <v>789</v>
      </c>
      <c r="C433">
        <v>5.34</v>
      </c>
      <c r="D433">
        <v>5.3</v>
      </c>
      <c r="E433">
        <v>5.32</v>
      </c>
      <c r="F433">
        <v>5.42</v>
      </c>
      <c r="G433">
        <v>5.48</v>
      </c>
      <c r="H433">
        <v>1911</v>
      </c>
    </row>
    <row r="434" spans="1:8" x14ac:dyDescent="0.45">
      <c r="A434" t="s">
        <v>1226</v>
      </c>
      <c r="B434" t="s">
        <v>789</v>
      </c>
      <c r="C434">
        <v>5.33</v>
      </c>
      <c r="D434">
        <v>5.28</v>
      </c>
      <c r="E434">
        <v>5.32</v>
      </c>
      <c r="F434">
        <v>5.43</v>
      </c>
      <c r="G434">
        <v>5.48</v>
      </c>
      <c r="H434">
        <v>1807</v>
      </c>
    </row>
    <row r="435" spans="1:8" x14ac:dyDescent="0.45">
      <c r="A435" t="s">
        <v>1227</v>
      </c>
      <c r="B435" t="s">
        <v>789</v>
      </c>
      <c r="C435">
        <v>5.32</v>
      </c>
      <c r="D435">
        <v>5.28</v>
      </c>
      <c r="E435">
        <v>5.31</v>
      </c>
      <c r="F435">
        <v>5.4</v>
      </c>
      <c r="G435">
        <v>5.44</v>
      </c>
      <c r="H435">
        <v>1849</v>
      </c>
    </row>
    <row r="436" spans="1:8" x14ac:dyDescent="0.45">
      <c r="A436" t="s">
        <v>1228</v>
      </c>
      <c r="B436" t="s">
        <v>789</v>
      </c>
      <c r="C436">
        <v>5.31</v>
      </c>
      <c r="D436">
        <v>5.28</v>
      </c>
      <c r="E436">
        <v>5.31</v>
      </c>
      <c r="F436">
        <v>5.38</v>
      </c>
      <c r="G436">
        <v>5.43</v>
      </c>
      <c r="H436">
        <v>1820</v>
      </c>
    </row>
    <row r="437" spans="1:8" x14ac:dyDescent="0.45">
      <c r="A437" t="s">
        <v>1229</v>
      </c>
      <c r="B437" t="s">
        <v>789</v>
      </c>
      <c r="C437">
        <v>5.31</v>
      </c>
      <c r="D437">
        <v>5.27</v>
      </c>
      <c r="E437">
        <v>5.31</v>
      </c>
      <c r="F437">
        <v>5.37</v>
      </c>
      <c r="G437">
        <v>5.42</v>
      </c>
      <c r="H437">
        <v>1796</v>
      </c>
    </row>
    <row r="438" spans="1:8" x14ac:dyDescent="0.45">
      <c r="A438" t="s">
        <v>1230</v>
      </c>
      <c r="B438" t="s">
        <v>789</v>
      </c>
      <c r="C438">
        <v>5.31</v>
      </c>
      <c r="D438">
        <v>5.27</v>
      </c>
      <c r="E438">
        <v>5.3</v>
      </c>
      <c r="F438">
        <v>5.35</v>
      </c>
      <c r="G438">
        <v>5.39</v>
      </c>
      <c r="H438">
        <v>1849</v>
      </c>
    </row>
    <row r="439" spans="1:8" x14ac:dyDescent="0.45">
      <c r="A439" t="s">
        <v>1231</v>
      </c>
      <c r="B439" t="s">
        <v>789</v>
      </c>
      <c r="C439">
        <v>5.31</v>
      </c>
      <c r="D439">
        <v>5.27</v>
      </c>
      <c r="E439">
        <v>5.3</v>
      </c>
      <c r="F439">
        <v>5.34</v>
      </c>
      <c r="G439">
        <v>5.38</v>
      </c>
      <c r="H439">
        <v>1736</v>
      </c>
    </row>
    <row r="440" spans="1:8" x14ac:dyDescent="0.45">
      <c r="A440" t="s">
        <v>1232</v>
      </c>
      <c r="B440" t="s">
        <v>789</v>
      </c>
      <c r="C440">
        <v>5.31</v>
      </c>
      <c r="D440">
        <v>5.2</v>
      </c>
      <c r="E440">
        <v>5.3</v>
      </c>
      <c r="F440">
        <v>5.34</v>
      </c>
      <c r="G440">
        <v>5.38</v>
      </c>
      <c r="H440">
        <v>1813</v>
      </c>
    </row>
    <row r="441" spans="1:8" x14ac:dyDescent="0.45">
      <c r="A441" t="s">
        <v>1233</v>
      </c>
      <c r="B441" t="s">
        <v>789</v>
      </c>
      <c r="C441">
        <v>5.31</v>
      </c>
      <c r="D441">
        <v>5.27</v>
      </c>
      <c r="E441">
        <v>5.3</v>
      </c>
      <c r="F441">
        <v>5.34</v>
      </c>
      <c r="G441">
        <v>5.39</v>
      </c>
      <c r="H441">
        <v>1788</v>
      </c>
    </row>
    <row r="442" spans="1:8" x14ac:dyDescent="0.45">
      <c r="A442" t="s">
        <v>1234</v>
      </c>
      <c r="B442" t="s">
        <v>789</v>
      </c>
      <c r="C442">
        <v>5.31</v>
      </c>
      <c r="D442">
        <v>5.28</v>
      </c>
      <c r="E442">
        <v>5.31</v>
      </c>
      <c r="F442">
        <v>5.37</v>
      </c>
      <c r="G442">
        <v>5.41</v>
      </c>
      <c r="H442">
        <v>1803</v>
      </c>
    </row>
    <row r="443" spans="1:8" x14ac:dyDescent="0.45">
      <c r="A443" t="s">
        <v>1235</v>
      </c>
      <c r="B443" t="s">
        <v>789</v>
      </c>
      <c r="C443">
        <v>5.31</v>
      </c>
      <c r="D443">
        <v>5.27</v>
      </c>
      <c r="E443">
        <v>5.3</v>
      </c>
      <c r="F443">
        <v>5.34</v>
      </c>
      <c r="G443">
        <v>5.39</v>
      </c>
      <c r="H443">
        <v>1782</v>
      </c>
    </row>
    <row r="444" spans="1:8" x14ac:dyDescent="0.45">
      <c r="A444" t="s">
        <v>1236</v>
      </c>
      <c r="B444" t="s">
        <v>789</v>
      </c>
      <c r="C444">
        <v>5.31</v>
      </c>
      <c r="D444">
        <v>5.27</v>
      </c>
      <c r="E444">
        <v>5.3</v>
      </c>
      <c r="F444">
        <v>5.35</v>
      </c>
      <c r="G444">
        <v>5.4</v>
      </c>
      <c r="H444">
        <v>1784</v>
      </c>
    </row>
    <row r="445" spans="1:8" x14ac:dyDescent="0.45">
      <c r="A445" t="s">
        <v>1237</v>
      </c>
      <c r="B445" t="s">
        <v>789</v>
      </c>
      <c r="C445">
        <v>5.31</v>
      </c>
      <c r="D445">
        <v>5.27</v>
      </c>
      <c r="E445">
        <v>5.31</v>
      </c>
      <c r="F445">
        <v>5.36</v>
      </c>
      <c r="G445">
        <v>5.4</v>
      </c>
      <c r="H445">
        <v>1699</v>
      </c>
    </row>
    <row r="446" spans="1:8" x14ac:dyDescent="0.45">
      <c r="A446" t="s">
        <v>1238</v>
      </c>
      <c r="B446" t="s">
        <v>789</v>
      </c>
      <c r="C446">
        <v>5.31</v>
      </c>
      <c r="D446">
        <v>5.27</v>
      </c>
      <c r="E446">
        <v>5.3</v>
      </c>
      <c r="F446">
        <v>5.35</v>
      </c>
      <c r="G446">
        <v>5.4</v>
      </c>
      <c r="H446">
        <v>1804</v>
      </c>
    </row>
    <row r="447" spans="1:8" x14ac:dyDescent="0.45">
      <c r="A447" t="s">
        <v>1239</v>
      </c>
      <c r="B447" t="s">
        <v>789</v>
      </c>
      <c r="C447">
        <v>5.31</v>
      </c>
      <c r="D447">
        <v>5.27</v>
      </c>
      <c r="E447">
        <v>5.3</v>
      </c>
      <c r="F447">
        <v>5.35</v>
      </c>
      <c r="G447">
        <v>5.39</v>
      </c>
      <c r="H447">
        <v>1782</v>
      </c>
    </row>
    <row r="448" spans="1:8" x14ac:dyDescent="0.45">
      <c r="A448" t="s">
        <v>1240</v>
      </c>
      <c r="B448" t="s">
        <v>789</v>
      </c>
      <c r="C448">
        <v>5.31</v>
      </c>
      <c r="D448">
        <v>5.27</v>
      </c>
      <c r="E448">
        <v>5.3</v>
      </c>
      <c r="F448">
        <v>5.34</v>
      </c>
      <c r="G448">
        <v>5.38</v>
      </c>
      <c r="H448">
        <v>1793</v>
      </c>
    </row>
    <row r="449" spans="1:8" x14ac:dyDescent="0.45">
      <c r="A449" t="s">
        <v>1241</v>
      </c>
      <c r="B449" t="s">
        <v>789</v>
      </c>
      <c r="C449">
        <v>5.31</v>
      </c>
      <c r="D449">
        <v>5.27</v>
      </c>
      <c r="E449">
        <v>5.3</v>
      </c>
      <c r="F449">
        <v>5.33</v>
      </c>
      <c r="G449">
        <v>5.38</v>
      </c>
      <c r="H449">
        <v>1707</v>
      </c>
    </row>
    <row r="450" spans="1:8" x14ac:dyDescent="0.45">
      <c r="A450" t="s">
        <v>1242</v>
      </c>
      <c r="B450" t="s">
        <v>789</v>
      </c>
      <c r="C450">
        <v>5.31</v>
      </c>
      <c r="D450">
        <v>5.27</v>
      </c>
      <c r="E450">
        <v>5.3</v>
      </c>
      <c r="F450">
        <v>5.34</v>
      </c>
      <c r="G450">
        <v>5.39</v>
      </c>
      <c r="H450">
        <v>1807</v>
      </c>
    </row>
    <row r="451" spans="1:8" x14ac:dyDescent="0.45">
      <c r="A451" t="s">
        <v>1243</v>
      </c>
      <c r="B451" t="s">
        <v>789</v>
      </c>
      <c r="C451">
        <v>5.31</v>
      </c>
      <c r="D451">
        <v>5.27</v>
      </c>
      <c r="E451">
        <v>5.3</v>
      </c>
      <c r="F451">
        <v>5.35</v>
      </c>
      <c r="G451">
        <v>5.39</v>
      </c>
      <c r="H451">
        <v>1858</v>
      </c>
    </row>
    <row r="452" spans="1:8" x14ac:dyDescent="0.45">
      <c r="A452" t="s">
        <v>1244</v>
      </c>
      <c r="B452" t="s">
        <v>789</v>
      </c>
      <c r="C452">
        <v>5.31</v>
      </c>
      <c r="D452">
        <v>5.28</v>
      </c>
      <c r="E452">
        <v>5.31</v>
      </c>
      <c r="F452">
        <v>5.36</v>
      </c>
      <c r="G452">
        <v>5.4</v>
      </c>
      <c r="H452">
        <v>1783</v>
      </c>
    </row>
    <row r="453" spans="1:8" x14ac:dyDescent="0.45">
      <c r="A453" t="s">
        <v>1245</v>
      </c>
      <c r="B453" t="s">
        <v>789</v>
      </c>
      <c r="C453">
        <v>5.32</v>
      </c>
      <c r="D453">
        <v>5.28</v>
      </c>
      <c r="E453">
        <v>5.31</v>
      </c>
      <c r="F453">
        <v>5.37</v>
      </c>
      <c r="G453">
        <v>5.41</v>
      </c>
      <c r="H453">
        <v>1951</v>
      </c>
    </row>
    <row r="454" spans="1:8" x14ac:dyDescent="0.45">
      <c r="A454" t="s">
        <v>1246</v>
      </c>
      <c r="B454" t="s">
        <v>789</v>
      </c>
      <c r="C454">
        <v>5.31</v>
      </c>
      <c r="D454">
        <v>5.27</v>
      </c>
      <c r="E454">
        <v>5.3</v>
      </c>
      <c r="F454">
        <v>5.33</v>
      </c>
      <c r="G454">
        <v>5.38</v>
      </c>
      <c r="H454">
        <v>1620</v>
      </c>
    </row>
    <row r="455" spans="1:8" x14ac:dyDescent="0.45">
      <c r="A455" t="s">
        <v>1247</v>
      </c>
      <c r="B455" t="s">
        <v>789</v>
      </c>
      <c r="C455">
        <v>5.31</v>
      </c>
      <c r="D455">
        <v>5.28</v>
      </c>
      <c r="E455">
        <v>5.3</v>
      </c>
      <c r="F455">
        <v>5.35</v>
      </c>
      <c r="G455">
        <v>5.4</v>
      </c>
      <c r="H455">
        <v>1741</v>
      </c>
    </row>
    <row r="456" spans="1:8" x14ac:dyDescent="0.45">
      <c r="A456" t="s">
        <v>1248</v>
      </c>
      <c r="B456" t="s">
        <v>789</v>
      </c>
      <c r="C456">
        <v>5.31</v>
      </c>
      <c r="D456">
        <v>5.28</v>
      </c>
      <c r="E456">
        <v>5.3</v>
      </c>
      <c r="F456">
        <v>5.36</v>
      </c>
      <c r="G456">
        <v>5.41</v>
      </c>
      <c r="H456">
        <v>1739</v>
      </c>
    </row>
    <row r="457" spans="1:8" x14ac:dyDescent="0.45">
      <c r="A457" t="s">
        <v>1249</v>
      </c>
      <c r="B457" t="s">
        <v>789</v>
      </c>
      <c r="C457">
        <v>5.31</v>
      </c>
      <c r="D457">
        <v>5.27</v>
      </c>
      <c r="E457">
        <v>5.3</v>
      </c>
      <c r="F457">
        <v>5.35</v>
      </c>
      <c r="G457">
        <v>5.39</v>
      </c>
      <c r="H457">
        <v>1736</v>
      </c>
    </row>
    <row r="458" spans="1:8" x14ac:dyDescent="0.45">
      <c r="A458" t="s">
        <v>1250</v>
      </c>
      <c r="B458" t="s">
        <v>789</v>
      </c>
      <c r="C458">
        <v>5.3</v>
      </c>
      <c r="D458">
        <v>5.27</v>
      </c>
      <c r="E458">
        <v>5.3</v>
      </c>
      <c r="F458">
        <v>5.33</v>
      </c>
      <c r="G458">
        <v>5.38</v>
      </c>
      <c r="H458">
        <v>1620</v>
      </c>
    </row>
    <row r="459" spans="1:8" x14ac:dyDescent="0.45">
      <c r="A459" t="s">
        <v>1251</v>
      </c>
      <c r="B459" t="s">
        <v>789</v>
      </c>
      <c r="C459">
        <v>5.3</v>
      </c>
      <c r="D459">
        <v>5.27</v>
      </c>
      <c r="E459">
        <v>5.3</v>
      </c>
      <c r="F459">
        <v>5.32</v>
      </c>
      <c r="G459">
        <v>5.37</v>
      </c>
      <c r="H459">
        <v>1607</v>
      </c>
    </row>
    <row r="460" spans="1:8" x14ac:dyDescent="0.45">
      <c r="A460" t="s">
        <v>1252</v>
      </c>
      <c r="B460" t="s">
        <v>789</v>
      </c>
      <c r="C460">
        <v>5.3</v>
      </c>
      <c r="D460">
        <v>5.25</v>
      </c>
      <c r="E460">
        <v>5.3</v>
      </c>
      <c r="F460">
        <v>5.32</v>
      </c>
      <c r="G460">
        <v>5.37</v>
      </c>
      <c r="H460">
        <v>1610</v>
      </c>
    </row>
    <row r="461" spans="1:8" x14ac:dyDescent="0.45">
      <c r="A461" t="s">
        <v>1253</v>
      </c>
      <c r="B461" t="s">
        <v>789</v>
      </c>
      <c r="C461">
        <v>5.3</v>
      </c>
      <c r="D461">
        <v>5.26</v>
      </c>
      <c r="E461">
        <v>5.3</v>
      </c>
      <c r="F461">
        <v>5.32</v>
      </c>
      <c r="G461">
        <v>5.37</v>
      </c>
      <c r="H461">
        <v>1666</v>
      </c>
    </row>
    <row r="462" spans="1:8" x14ac:dyDescent="0.45">
      <c r="A462" t="s">
        <v>1254</v>
      </c>
      <c r="B462" t="s">
        <v>789</v>
      </c>
      <c r="C462">
        <v>5.31</v>
      </c>
      <c r="D462">
        <v>5.27</v>
      </c>
      <c r="E462">
        <v>5.3</v>
      </c>
      <c r="F462">
        <v>5.33</v>
      </c>
      <c r="G462">
        <v>5.38</v>
      </c>
      <c r="H462">
        <v>1746</v>
      </c>
    </row>
    <row r="463" spans="1:8" x14ac:dyDescent="0.45">
      <c r="A463" t="s">
        <v>1255</v>
      </c>
      <c r="B463" t="s">
        <v>789</v>
      </c>
      <c r="C463">
        <v>5.3</v>
      </c>
      <c r="D463">
        <v>5.26</v>
      </c>
      <c r="E463">
        <v>5.3</v>
      </c>
      <c r="F463">
        <v>5.32</v>
      </c>
      <c r="G463">
        <v>5.38</v>
      </c>
      <c r="H463">
        <v>1596</v>
      </c>
    </row>
    <row r="464" spans="1:8" x14ac:dyDescent="0.45">
      <c r="A464" t="s">
        <v>1256</v>
      </c>
      <c r="B464" t="s">
        <v>789</v>
      </c>
      <c r="C464">
        <v>5.31</v>
      </c>
      <c r="D464">
        <v>5.27</v>
      </c>
      <c r="E464">
        <v>5.3</v>
      </c>
      <c r="F464">
        <v>5.34</v>
      </c>
      <c r="G464">
        <v>5.39</v>
      </c>
      <c r="H464">
        <v>1714</v>
      </c>
    </row>
    <row r="465" spans="1:8" x14ac:dyDescent="0.45">
      <c r="A465" t="s">
        <v>1257</v>
      </c>
      <c r="B465" t="s">
        <v>789</v>
      </c>
      <c r="C465">
        <v>5.31</v>
      </c>
      <c r="D465">
        <v>5.27</v>
      </c>
      <c r="E465">
        <v>5.3</v>
      </c>
      <c r="F465">
        <v>5.35</v>
      </c>
      <c r="G465">
        <v>5.4</v>
      </c>
      <c r="H465">
        <v>1725</v>
      </c>
    </row>
    <row r="466" spans="1:8" x14ac:dyDescent="0.45">
      <c r="A466" t="s">
        <v>1258</v>
      </c>
      <c r="B466" t="s">
        <v>789</v>
      </c>
      <c r="C466">
        <v>5.31</v>
      </c>
      <c r="D466">
        <v>5.27</v>
      </c>
      <c r="E466">
        <v>5.3</v>
      </c>
      <c r="F466">
        <v>5.36</v>
      </c>
      <c r="G466">
        <v>5.4</v>
      </c>
      <c r="H466">
        <v>1581</v>
      </c>
    </row>
    <row r="467" spans="1:8" x14ac:dyDescent="0.45">
      <c r="A467" t="s">
        <v>1259</v>
      </c>
      <c r="B467" t="s">
        <v>789</v>
      </c>
      <c r="C467">
        <v>5.31</v>
      </c>
      <c r="D467">
        <v>5.27</v>
      </c>
      <c r="E467">
        <v>5.3</v>
      </c>
      <c r="F467">
        <v>5.36</v>
      </c>
      <c r="G467">
        <v>5.4</v>
      </c>
      <c r="H467">
        <v>1669</v>
      </c>
    </row>
    <row r="468" spans="1:8" x14ac:dyDescent="0.45">
      <c r="A468" t="s">
        <v>1260</v>
      </c>
      <c r="B468" t="s">
        <v>789</v>
      </c>
      <c r="C468">
        <v>5.31</v>
      </c>
      <c r="D468">
        <v>5.27</v>
      </c>
      <c r="E468">
        <v>5.3</v>
      </c>
      <c r="F468">
        <v>5.35</v>
      </c>
      <c r="G468">
        <v>5.4</v>
      </c>
      <c r="H468">
        <v>1797</v>
      </c>
    </row>
    <row r="469" spans="1:8" x14ac:dyDescent="0.45">
      <c r="A469" t="s">
        <v>1261</v>
      </c>
      <c r="B469" t="s">
        <v>789</v>
      </c>
      <c r="C469">
        <v>5.31</v>
      </c>
      <c r="D469">
        <v>5.28</v>
      </c>
      <c r="E469">
        <v>5.31</v>
      </c>
      <c r="F469">
        <v>5.36</v>
      </c>
      <c r="G469">
        <v>5.4</v>
      </c>
      <c r="H469">
        <v>1738</v>
      </c>
    </row>
    <row r="470" spans="1:8" x14ac:dyDescent="0.45">
      <c r="A470" t="s">
        <v>1262</v>
      </c>
      <c r="B470" t="s">
        <v>789</v>
      </c>
      <c r="C470">
        <v>5.31</v>
      </c>
      <c r="D470">
        <v>5.27</v>
      </c>
      <c r="E470">
        <v>5.31</v>
      </c>
      <c r="F470">
        <v>5.36</v>
      </c>
      <c r="G470">
        <v>5.41</v>
      </c>
      <c r="H470">
        <v>1731</v>
      </c>
    </row>
    <row r="471" spans="1:8" x14ac:dyDescent="0.45">
      <c r="A471" t="s">
        <v>1263</v>
      </c>
      <c r="B471" t="s">
        <v>789</v>
      </c>
      <c r="C471">
        <v>5.32</v>
      </c>
      <c r="D471">
        <v>5.28</v>
      </c>
      <c r="E471">
        <v>5.31</v>
      </c>
      <c r="F471">
        <v>5.39</v>
      </c>
      <c r="G471">
        <v>5.44</v>
      </c>
      <c r="H471">
        <v>1849</v>
      </c>
    </row>
    <row r="472" spans="1:8" x14ac:dyDescent="0.45">
      <c r="A472" t="s">
        <v>1264</v>
      </c>
      <c r="B472" t="s">
        <v>789</v>
      </c>
      <c r="C472">
        <v>5.32</v>
      </c>
      <c r="D472">
        <v>5.28</v>
      </c>
      <c r="E472">
        <v>5.31</v>
      </c>
      <c r="F472">
        <v>5.39</v>
      </c>
      <c r="G472">
        <v>5.43</v>
      </c>
      <c r="H472">
        <v>1897</v>
      </c>
    </row>
    <row r="473" spans="1:8" x14ac:dyDescent="0.45">
      <c r="A473" t="s">
        <v>1265</v>
      </c>
      <c r="B473" t="s">
        <v>789</v>
      </c>
      <c r="C473">
        <v>5.32</v>
      </c>
      <c r="D473">
        <v>5.28</v>
      </c>
      <c r="E473">
        <v>5.31</v>
      </c>
      <c r="F473">
        <v>5.4</v>
      </c>
      <c r="G473">
        <v>5.43</v>
      </c>
      <c r="H473">
        <v>1874</v>
      </c>
    </row>
    <row r="474" spans="1:8" x14ac:dyDescent="0.45">
      <c r="A474" t="s">
        <v>1266</v>
      </c>
      <c r="B474" t="s">
        <v>789</v>
      </c>
      <c r="C474">
        <v>5.31</v>
      </c>
      <c r="D474">
        <v>5.28</v>
      </c>
      <c r="E474">
        <v>5.3</v>
      </c>
      <c r="F474">
        <v>5.36</v>
      </c>
      <c r="G474">
        <v>5.4</v>
      </c>
      <c r="H474">
        <v>1642</v>
      </c>
    </row>
    <row r="475" spans="1:8" x14ac:dyDescent="0.45">
      <c r="A475" t="s">
        <v>1267</v>
      </c>
      <c r="B475" t="s">
        <v>789</v>
      </c>
      <c r="C475">
        <v>5.31</v>
      </c>
      <c r="D475">
        <v>5.27</v>
      </c>
      <c r="E475">
        <v>5.3</v>
      </c>
      <c r="F475">
        <v>5.36</v>
      </c>
      <c r="G475">
        <v>5.4</v>
      </c>
      <c r="H475">
        <v>1598</v>
      </c>
    </row>
    <row r="476" spans="1:8" x14ac:dyDescent="0.45">
      <c r="A476" t="s">
        <v>1268</v>
      </c>
      <c r="B476" t="s">
        <v>789</v>
      </c>
      <c r="C476">
        <v>5.32</v>
      </c>
      <c r="D476">
        <v>5.28</v>
      </c>
      <c r="E476">
        <v>5.31</v>
      </c>
      <c r="F476">
        <v>5.37</v>
      </c>
      <c r="G476">
        <v>5.42</v>
      </c>
      <c r="H476">
        <v>1712</v>
      </c>
    </row>
    <row r="477" spans="1:8" x14ac:dyDescent="0.45">
      <c r="A477" t="s">
        <v>1269</v>
      </c>
      <c r="B477" t="s">
        <v>789</v>
      </c>
      <c r="C477">
        <v>5.32</v>
      </c>
      <c r="D477">
        <v>5.28</v>
      </c>
      <c r="E477">
        <v>5.31</v>
      </c>
      <c r="F477">
        <v>5.38</v>
      </c>
      <c r="G477">
        <v>5.43</v>
      </c>
      <c r="H477">
        <v>1768</v>
      </c>
    </row>
    <row r="478" spans="1:8" x14ac:dyDescent="0.45">
      <c r="A478" t="s">
        <v>1270</v>
      </c>
      <c r="B478" t="s">
        <v>789</v>
      </c>
      <c r="C478">
        <v>5.31</v>
      </c>
      <c r="D478">
        <v>5.26</v>
      </c>
      <c r="E478">
        <v>5.3</v>
      </c>
      <c r="F478">
        <v>5.36</v>
      </c>
      <c r="G478">
        <v>5.4</v>
      </c>
      <c r="H478">
        <v>1596</v>
      </c>
    </row>
    <row r="479" spans="1:8" x14ac:dyDescent="0.45">
      <c r="A479" t="s">
        <v>1271</v>
      </c>
      <c r="B479" t="s">
        <v>789</v>
      </c>
      <c r="C479">
        <v>5.31</v>
      </c>
      <c r="D479">
        <v>5.26</v>
      </c>
      <c r="E479">
        <v>5.3</v>
      </c>
      <c r="F479">
        <v>5.34</v>
      </c>
      <c r="G479">
        <v>5.38</v>
      </c>
      <c r="H479">
        <v>1686</v>
      </c>
    </row>
    <row r="480" spans="1:8" x14ac:dyDescent="0.45">
      <c r="A480" t="s">
        <v>1272</v>
      </c>
      <c r="B480" t="s">
        <v>789</v>
      </c>
      <c r="C480">
        <v>5.31</v>
      </c>
      <c r="D480">
        <v>5.26</v>
      </c>
      <c r="E480">
        <v>5.3</v>
      </c>
      <c r="F480">
        <v>5.33</v>
      </c>
      <c r="G480">
        <v>5.38</v>
      </c>
      <c r="H480">
        <v>1595</v>
      </c>
    </row>
    <row r="481" spans="1:8" x14ac:dyDescent="0.45">
      <c r="A481" t="s">
        <v>1273</v>
      </c>
      <c r="B481" t="s">
        <v>789</v>
      </c>
      <c r="C481">
        <v>5.31</v>
      </c>
      <c r="D481">
        <v>5.26</v>
      </c>
      <c r="E481">
        <v>5.3</v>
      </c>
      <c r="F481">
        <v>5.33</v>
      </c>
      <c r="G481">
        <v>5.37</v>
      </c>
      <c r="H481">
        <v>1688</v>
      </c>
    </row>
    <row r="482" spans="1:8" x14ac:dyDescent="0.45">
      <c r="A482" t="s">
        <v>1274</v>
      </c>
      <c r="B482" t="s">
        <v>789</v>
      </c>
      <c r="C482">
        <v>5.31</v>
      </c>
      <c r="D482">
        <v>5.27</v>
      </c>
      <c r="E482">
        <v>5.3</v>
      </c>
      <c r="F482">
        <v>5.34</v>
      </c>
      <c r="G482">
        <v>5.4</v>
      </c>
      <c r="H482">
        <v>1746</v>
      </c>
    </row>
    <row r="483" spans="1:8" x14ac:dyDescent="0.45">
      <c r="A483" t="s">
        <v>1275</v>
      </c>
      <c r="B483" t="s">
        <v>789</v>
      </c>
      <c r="C483">
        <v>5.32</v>
      </c>
      <c r="D483">
        <v>5.28</v>
      </c>
      <c r="E483">
        <v>5.31</v>
      </c>
      <c r="F483">
        <v>5.37</v>
      </c>
      <c r="G483">
        <v>5.42</v>
      </c>
      <c r="H483">
        <v>1764</v>
      </c>
    </row>
    <row r="484" spans="1:8" x14ac:dyDescent="0.45">
      <c r="A484" t="s">
        <v>1276</v>
      </c>
      <c r="B484" t="s">
        <v>789</v>
      </c>
      <c r="C484">
        <v>5.32</v>
      </c>
      <c r="D484">
        <v>5.28</v>
      </c>
      <c r="E484">
        <v>5.31</v>
      </c>
      <c r="F484">
        <v>5.38</v>
      </c>
      <c r="G484">
        <v>5.42</v>
      </c>
      <c r="H484">
        <v>1854</v>
      </c>
    </row>
    <row r="485" spans="1:8" x14ac:dyDescent="0.45">
      <c r="A485" t="s">
        <v>1277</v>
      </c>
      <c r="B485" t="s">
        <v>789</v>
      </c>
      <c r="C485">
        <v>5.31</v>
      </c>
      <c r="D485">
        <v>5.27</v>
      </c>
      <c r="E485">
        <v>5.3</v>
      </c>
      <c r="F485">
        <v>5.36</v>
      </c>
      <c r="G485">
        <v>5.4</v>
      </c>
      <c r="H485">
        <v>1590</v>
      </c>
    </row>
    <row r="486" spans="1:8" x14ac:dyDescent="0.45">
      <c r="A486" t="s">
        <v>1278</v>
      </c>
      <c r="B486" t="s">
        <v>789</v>
      </c>
      <c r="C486">
        <v>5.31</v>
      </c>
      <c r="D486">
        <v>5.28</v>
      </c>
      <c r="E486">
        <v>5.3</v>
      </c>
      <c r="F486">
        <v>5.36</v>
      </c>
      <c r="G486">
        <v>5.4</v>
      </c>
      <c r="H486">
        <v>1648</v>
      </c>
    </row>
    <row r="487" spans="1:8" x14ac:dyDescent="0.45">
      <c r="A487" t="s">
        <v>1279</v>
      </c>
      <c r="B487" t="s">
        <v>789</v>
      </c>
      <c r="C487">
        <v>5.31</v>
      </c>
      <c r="D487">
        <v>5.28</v>
      </c>
      <c r="E487">
        <v>5.3</v>
      </c>
      <c r="F487">
        <v>5.36</v>
      </c>
      <c r="G487">
        <v>5.4</v>
      </c>
      <c r="H487">
        <v>1660</v>
      </c>
    </row>
    <row r="488" spans="1:8" x14ac:dyDescent="0.45">
      <c r="A488" t="s">
        <v>1280</v>
      </c>
      <c r="B488" t="s">
        <v>789</v>
      </c>
      <c r="C488">
        <v>5.31</v>
      </c>
      <c r="D488">
        <v>5.28</v>
      </c>
      <c r="E488">
        <v>5.3</v>
      </c>
      <c r="F488">
        <v>5.36</v>
      </c>
      <c r="G488">
        <v>5.4</v>
      </c>
      <c r="H488">
        <v>1693</v>
      </c>
    </row>
    <row r="489" spans="1:8" x14ac:dyDescent="0.45">
      <c r="A489" t="s">
        <v>1281</v>
      </c>
      <c r="B489" t="s">
        <v>789</v>
      </c>
      <c r="C489">
        <v>5.31</v>
      </c>
      <c r="D489">
        <v>5.28</v>
      </c>
      <c r="E489">
        <v>5.3</v>
      </c>
      <c r="F489">
        <v>5.36</v>
      </c>
      <c r="G489">
        <v>5.4</v>
      </c>
      <c r="H489">
        <v>1658</v>
      </c>
    </row>
    <row r="490" spans="1:8" x14ac:dyDescent="0.45">
      <c r="A490" t="s">
        <v>1282</v>
      </c>
      <c r="B490" t="s">
        <v>789</v>
      </c>
      <c r="C490">
        <v>5.31</v>
      </c>
      <c r="D490">
        <v>5.28</v>
      </c>
      <c r="E490">
        <v>5.3</v>
      </c>
      <c r="F490">
        <v>5.36</v>
      </c>
      <c r="G490">
        <v>5.4</v>
      </c>
      <c r="H490">
        <v>1674</v>
      </c>
    </row>
    <row r="491" spans="1:8" x14ac:dyDescent="0.45">
      <c r="A491" t="s">
        <v>1283</v>
      </c>
      <c r="B491" t="s">
        <v>789</v>
      </c>
      <c r="C491">
        <v>5.32</v>
      </c>
      <c r="D491">
        <v>5.29</v>
      </c>
      <c r="E491">
        <v>5.31</v>
      </c>
      <c r="F491">
        <v>5.4</v>
      </c>
      <c r="G491">
        <v>5.44</v>
      </c>
      <c r="H491">
        <v>1930</v>
      </c>
    </row>
    <row r="492" spans="1:8" x14ac:dyDescent="0.45">
      <c r="A492" t="s">
        <v>1284</v>
      </c>
      <c r="B492" t="s">
        <v>789</v>
      </c>
      <c r="C492">
        <v>5.39</v>
      </c>
      <c r="D492">
        <v>5.3</v>
      </c>
      <c r="E492">
        <v>5.33</v>
      </c>
      <c r="F492">
        <v>5.48</v>
      </c>
      <c r="G492">
        <v>5.53</v>
      </c>
      <c r="H492">
        <v>1832</v>
      </c>
    </row>
    <row r="493" spans="1:8" x14ac:dyDescent="0.45">
      <c r="A493" t="s">
        <v>1285</v>
      </c>
      <c r="B493" t="s">
        <v>789</v>
      </c>
      <c r="C493">
        <v>5.4</v>
      </c>
      <c r="D493">
        <v>5.3</v>
      </c>
      <c r="E493">
        <v>5.33</v>
      </c>
      <c r="F493">
        <v>5.51</v>
      </c>
      <c r="G493">
        <v>5.56</v>
      </c>
      <c r="H493">
        <v>1948</v>
      </c>
    </row>
    <row r="494" spans="1:8" x14ac:dyDescent="0.45">
      <c r="A494" t="s">
        <v>1286</v>
      </c>
    </row>
  </sheetData>
  <pageMargins left="0.7" right="0.7" top="0.75" bottom="0.75" header="0.3" footer="0.3"/>
  <pageSetup paperSize="9" orientation="portrait"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31E8C9-1475-4C91-9846-39B126733D18}">
  <dimension ref="B2:AB77"/>
  <sheetViews>
    <sheetView showGridLines="0" zoomScale="97" zoomScaleNormal="115" workbookViewId="0">
      <selection activeCell="B3" sqref="B3"/>
    </sheetView>
  </sheetViews>
  <sheetFormatPr defaultColWidth="8.33203125" defaultRowHeight="14.25" x14ac:dyDescent="0.45"/>
  <cols>
    <col min="1" max="1" width="4.6640625" style="3" customWidth="1"/>
    <col min="2" max="2" width="48.33203125" style="3" customWidth="1"/>
    <col min="3" max="5" width="16.1328125" style="3" customWidth="1"/>
    <col min="6" max="9" width="15.33203125" style="3" bestFit="1" customWidth="1"/>
    <col min="10" max="10" width="13.1328125" style="3" bestFit="1" customWidth="1"/>
    <col min="11" max="11" width="13.33203125" style="3" bestFit="1" customWidth="1"/>
    <col min="12" max="12" width="11.33203125" style="3" bestFit="1" customWidth="1"/>
    <col min="13" max="15" width="9.33203125" style="3" bestFit="1" customWidth="1"/>
    <col min="16" max="19" width="10.33203125" style="3" bestFit="1" customWidth="1"/>
    <col min="20" max="20" width="7.33203125" style="3" bestFit="1" customWidth="1"/>
    <col min="21" max="23" width="9.33203125" style="3" bestFit="1" customWidth="1"/>
    <col min="24" max="16384" width="8.33203125" style="3"/>
  </cols>
  <sheetData>
    <row r="2" spans="2:28" x14ac:dyDescent="0.45">
      <c r="B2" s="3" t="s">
        <v>1287</v>
      </c>
    </row>
    <row r="3" spans="2:28" ht="42.75" x14ac:dyDescent="0.45">
      <c r="B3" s="294" t="s">
        <v>1288</v>
      </c>
      <c r="C3" s="295" t="s">
        <v>1289</v>
      </c>
      <c r="D3" s="295" t="s">
        <v>1289</v>
      </c>
      <c r="E3" s="295" t="s">
        <v>1289</v>
      </c>
      <c r="F3" s="295" t="s">
        <v>1290</v>
      </c>
      <c r="G3" s="295" t="s">
        <v>1290</v>
      </c>
      <c r="H3" s="295" t="s">
        <v>1290</v>
      </c>
      <c r="I3" s="295" t="s">
        <v>1290</v>
      </c>
      <c r="J3" s="295" t="s">
        <v>1291</v>
      </c>
      <c r="K3" s="295" t="s">
        <v>1292</v>
      </c>
      <c r="L3" s="295" t="s">
        <v>1293</v>
      </c>
      <c r="M3" s="295" t="s">
        <v>1293</v>
      </c>
      <c r="N3" s="295" t="s">
        <v>1293</v>
      </c>
      <c r="O3" s="295" t="s">
        <v>1293</v>
      </c>
      <c r="P3" s="295" t="s">
        <v>1294</v>
      </c>
      <c r="Q3" s="295" t="s">
        <v>1294</v>
      </c>
      <c r="R3" s="295" t="s">
        <v>1294</v>
      </c>
      <c r="S3" s="295" t="s">
        <v>1294</v>
      </c>
      <c r="T3" s="295" t="s">
        <v>1295</v>
      </c>
      <c r="U3" s="295" t="s">
        <v>1295</v>
      </c>
      <c r="V3" s="295" t="s">
        <v>1295</v>
      </c>
      <c r="W3" s="295" t="s">
        <v>1295</v>
      </c>
    </row>
    <row r="4" spans="2:28" x14ac:dyDescent="0.45">
      <c r="B4" s="294"/>
      <c r="C4" s="295" t="s">
        <v>1298</v>
      </c>
      <c r="D4" s="295" t="s">
        <v>1299</v>
      </c>
      <c r="E4" s="295" t="s">
        <v>1300</v>
      </c>
      <c r="F4" s="295" t="s">
        <v>1298</v>
      </c>
      <c r="G4" s="295" t="s">
        <v>1299</v>
      </c>
      <c r="H4" s="295" t="s">
        <v>1300</v>
      </c>
      <c r="I4" s="295" t="s">
        <v>1301</v>
      </c>
      <c r="J4" s="295" t="s">
        <v>1302</v>
      </c>
      <c r="K4" s="295" t="s">
        <v>1303</v>
      </c>
      <c r="L4" s="295" t="s">
        <v>1298</v>
      </c>
      <c r="M4" s="295" t="s">
        <v>1299</v>
      </c>
      <c r="N4" s="295" t="s">
        <v>1300</v>
      </c>
      <c r="O4" s="295" t="s">
        <v>1301</v>
      </c>
      <c r="P4" s="295" t="s">
        <v>1298</v>
      </c>
      <c r="Q4" s="295" t="s">
        <v>1299</v>
      </c>
      <c r="R4" s="295" t="s">
        <v>1300</v>
      </c>
      <c r="S4" s="295" t="s">
        <v>1301</v>
      </c>
      <c r="T4" s="295" t="s">
        <v>1298</v>
      </c>
      <c r="U4" s="295" t="s">
        <v>1299</v>
      </c>
      <c r="V4" s="295" t="s">
        <v>1300</v>
      </c>
      <c r="W4" s="295" t="s">
        <v>1301</v>
      </c>
    </row>
    <row r="5" spans="2:28" x14ac:dyDescent="0.45">
      <c r="B5" s="294"/>
      <c r="C5" s="295"/>
      <c r="D5" s="295"/>
      <c r="E5" s="295"/>
      <c r="F5" s="295"/>
      <c r="G5" s="295"/>
      <c r="H5" s="295"/>
      <c r="I5" s="295"/>
      <c r="J5" s="295"/>
      <c r="K5" s="295"/>
      <c r="L5" s="295"/>
      <c r="M5" s="295"/>
      <c r="N5" s="295"/>
      <c r="O5" s="295"/>
      <c r="P5" s="295"/>
      <c r="Q5" s="295"/>
      <c r="R5" s="295"/>
      <c r="S5" s="295"/>
      <c r="T5" s="295"/>
      <c r="U5" s="295"/>
      <c r="V5" s="295"/>
      <c r="W5" s="295"/>
    </row>
    <row r="6" spans="2:28" x14ac:dyDescent="0.45">
      <c r="B6" s="25" t="s">
        <v>1304</v>
      </c>
      <c r="C6" s="53" t="s">
        <v>510</v>
      </c>
      <c r="D6" s="53" t="s">
        <v>510</v>
      </c>
      <c r="E6" s="53" t="s">
        <v>510</v>
      </c>
      <c r="F6" s="53" t="s">
        <v>510</v>
      </c>
      <c r="G6" s="296">
        <v>-3.863</v>
      </c>
      <c r="H6" s="296">
        <v>-13.988</v>
      </c>
      <c r="I6" s="296">
        <v>-31.03</v>
      </c>
      <c r="J6" s="53" t="s">
        <v>1305</v>
      </c>
      <c r="K6" s="53" t="s">
        <v>510</v>
      </c>
      <c r="L6" s="53" t="s">
        <v>510</v>
      </c>
      <c r="M6" s="297">
        <v>80879</v>
      </c>
      <c r="N6" s="297">
        <v>83460</v>
      </c>
      <c r="O6" s="297">
        <v>88253</v>
      </c>
      <c r="P6" s="53" t="s">
        <v>510</v>
      </c>
      <c r="Q6" s="297">
        <v>255338</v>
      </c>
      <c r="R6" s="297">
        <v>235192</v>
      </c>
      <c r="S6" s="297">
        <v>209095</v>
      </c>
      <c r="T6" s="53" t="s">
        <v>510</v>
      </c>
      <c r="U6" s="297">
        <v>332927</v>
      </c>
      <c r="V6" s="297">
        <v>309394</v>
      </c>
      <c r="W6" s="297">
        <v>279075</v>
      </c>
    </row>
    <row r="7" spans="2:28" x14ac:dyDescent="0.45">
      <c r="B7" s="25" t="s">
        <v>1306</v>
      </c>
      <c r="C7" s="53" t="s">
        <v>510</v>
      </c>
      <c r="D7" s="53" t="s">
        <v>510</v>
      </c>
      <c r="E7" s="53" t="s">
        <v>510</v>
      </c>
      <c r="F7" s="53" t="s">
        <v>510</v>
      </c>
      <c r="G7" s="296">
        <v>23.361999999999998</v>
      </c>
      <c r="H7" s="296">
        <v>19.312999999999999</v>
      </c>
      <c r="I7" s="296">
        <v>18.190000000000001</v>
      </c>
      <c r="J7" s="296">
        <v>15.414436</v>
      </c>
      <c r="K7" s="53" t="s">
        <v>510</v>
      </c>
      <c r="L7" s="53" t="s">
        <v>510</v>
      </c>
      <c r="M7" s="297">
        <v>814400</v>
      </c>
      <c r="N7" s="297">
        <v>839600</v>
      </c>
      <c r="O7" s="297">
        <v>794000</v>
      </c>
      <c r="P7" s="53" t="s">
        <v>510</v>
      </c>
      <c r="Q7" s="297">
        <v>2921200</v>
      </c>
      <c r="R7" s="297">
        <v>2680500</v>
      </c>
      <c r="S7" s="297">
        <v>2606800</v>
      </c>
      <c r="T7" s="53" t="s">
        <v>510</v>
      </c>
      <c r="U7" s="297">
        <v>4573200</v>
      </c>
      <c r="V7" s="297">
        <v>4254100</v>
      </c>
      <c r="W7" s="297">
        <v>4091300</v>
      </c>
    </row>
    <row r="8" spans="2:28" x14ac:dyDescent="0.45">
      <c r="B8" s="25" t="s">
        <v>1307</v>
      </c>
      <c r="C8" s="53" t="s">
        <v>510</v>
      </c>
      <c r="D8" s="53" t="s">
        <v>510</v>
      </c>
      <c r="E8" s="53" t="s">
        <v>510</v>
      </c>
      <c r="F8" s="53" t="s">
        <v>510</v>
      </c>
      <c r="G8" s="296">
        <v>7.4550000000000001</v>
      </c>
      <c r="H8" s="296">
        <v>2.08</v>
      </c>
      <c r="I8" s="296">
        <v>-18.916</v>
      </c>
      <c r="J8" s="296">
        <v>24.77609</v>
      </c>
      <c r="K8" s="53" t="s">
        <v>510</v>
      </c>
      <c r="L8" s="53" t="s">
        <v>510</v>
      </c>
      <c r="M8" s="297">
        <v>495281</v>
      </c>
      <c r="N8" s="297">
        <v>481293</v>
      </c>
      <c r="O8" s="297">
        <v>482861</v>
      </c>
      <c r="P8" s="53" t="s">
        <v>510</v>
      </c>
      <c r="Q8" s="297">
        <v>1196015</v>
      </c>
      <c r="R8" s="297">
        <v>1049137</v>
      </c>
      <c r="S8" s="297">
        <v>861439</v>
      </c>
      <c r="T8" s="53" t="s">
        <v>510</v>
      </c>
      <c r="U8" s="297">
        <v>1760650</v>
      </c>
      <c r="V8" s="297">
        <v>1561665</v>
      </c>
      <c r="W8" s="297">
        <v>1387666</v>
      </c>
    </row>
    <row r="9" spans="2:28" x14ac:dyDescent="0.45">
      <c r="B9" s="25" t="s">
        <v>1308</v>
      </c>
      <c r="C9" s="53" t="s">
        <v>510</v>
      </c>
      <c r="D9" s="53" t="s">
        <v>510</v>
      </c>
      <c r="E9" s="53" t="s">
        <v>510</v>
      </c>
      <c r="F9" s="53" t="s">
        <v>510</v>
      </c>
      <c r="G9" s="296">
        <v>14.448</v>
      </c>
      <c r="H9" s="296">
        <v>4.6740000000000004</v>
      </c>
      <c r="I9" s="296">
        <v>-6.8390000000000004</v>
      </c>
      <c r="J9" s="296">
        <v>147.088798</v>
      </c>
      <c r="K9" s="53" t="s">
        <v>510</v>
      </c>
      <c r="L9" s="53" t="s">
        <v>510</v>
      </c>
      <c r="M9" s="297">
        <v>1351000</v>
      </c>
      <c r="N9" s="297">
        <v>1612000</v>
      </c>
      <c r="O9" s="297">
        <v>1485000</v>
      </c>
      <c r="P9" s="53" t="s">
        <v>510</v>
      </c>
      <c r="Q9" s="297">
        <v>4472000</v>
      </c>
      <c r="R9" s="297">
        <v>3515000</v>
      </c>
      <c r="S9" s="297">
        <v>2754000</v>
      </c>
      <c r="T9" s="53" t="s">
        <v>510</v>
      </c>
      <c r="U9" s="297">
        <v>8880000</v>
      </c>
      <c r="V9" s="297">
        <v>7060000</v>
      </c>
      <c r="W9" s="297">
        <v>5600000</v>
      </c>
    </row>
    <row r="10" spans="2:28" x14ac:dyDescent="0.45">
      <c r="B10" s="25"/>
      <c r="C10" s="53"/>
      <c r="D10" s="53"/>
      <c r="E10" s="53"/>
      <c r="F10" s="53"/>
      <c r="G10" s="296"/>
      <c r="H10" s="296"/>
      <c r="I10" s="296"/>
      <c r="J10" s="296"/>
      <c r="K10" s="53"/>
      <c r="L10" s="53"/>
      <c r="M10" s="297"/>
      <c r="N10" s="297"/>
      <c r="O10" s="297"/>
      <c r="P10" s="53"/>
      <c r="Q10" s="297"/>
      <c r="R10" s="298" t="s">
        <v>1309</v>
      </c>
      <c r="S10" s="297"/>
      <c r="T10" s="53"/>
      <c r="U10" s="297"/>
      <c r="V10" s="297"/>
      <c r="W10" s="297"/>
      <c r="Y10" s="299" t="s">
        <v>1310</v>
      </c>
    </row>
    <row r="11" spans="2:28" x14ac:dyDescent="0.45">
      <c r="B11" s="25"/>
      <c r="C11" s="53"/>
      <c r="D11" s="53"/>
      <c r="E11" s="53"/>
      <c r="F11" s="53"/>
      <c r="G11" s="296"/>
      <c r="H11" s="296"/>
      <c r="I11" s="296"/>
      <c r="J11" s="296"/>
      <c r="K11" s="53"/>
      <c r="L11" s="53"/>
      <c r="M11" s="300" t="s">
        <v>1304</v>
      </c>
      <c r="N11" s="301"/>
      <c r="O11" s="301"/>
      <c r="P11" s="302"/>
      <c r="Q11" s="303">
        <f>Q6/U6</f>
        <v>0.76694891072217031</v>
      </c>
      <c r="R11" s="303">
        <f t="shared" ref="R11:S14" si="0">R6/V6</f>
        <v>0.76016988047602729</v>
      </c>
      <c r="S11" s="304">
        <f t="shared" si="0"/>
        <v>0.74924303502642664</v>
      </c>
      <c r="T11" s="53"/>
      <c r="U11" s="305" t="s">
        <v>1311</v>
      </c>
      <c r="V11" s="303">
        <f>MIN(Q11:Q14)</f>
        <v>0.50360360360360357</v>
      </c>
      <c r="W11" s="303">
        <f t="shared" ref="W11:X11" si="1">MIN(R11:R14)</f>
        <v>0.49787535410764872</v>
      </c>
      <c r="X11" s="304">
        <f t="shared" si="1"/>
        <v>0.49178571428571427</v>
      </c>
      <c r="Y11" s="19">
        <f>AVERAGE(V11:X11)</f>
        <v>0.49775489066565548</v>
      </c>
    </row>
    <row r="12" spans="2:28" x14ac:dyDescent="0.45">
      <c r="B12" s="25"/>
      <c r="C12" s="53"/>
      <c r="D12" s="53"/>
      <c r="E12" s="53"/>
      <c r="F12" s="53"/>
      <c r="G12" s="296"/>
      <c r="H12" s="296"/>
      <c r="I12" s="296"/>
      <c r="J12" s="296"/>
      <c r="K12" s="53"/>
      <c r="L12" s="53"/>
      <c r="M12" s="306" t="s">
        <v>1306</v>
      </c>
      <c r="N12" s="297"/>
      <c r="O12" s="297"/>
      <c r="P12" s="298"/>
      <c r="Q12" s="307">
        <f t="shared" ref="Q12:Q14" si="2">Q7/U7</f>
        <v>0.63876497857080383</v>
      </c>
      <c r="R12" s="307">
        <f t="shared" si="0"/>
        <v>0.6300980230836134</v>
      </c>
      <c r="S12" s="308">
        <f t="shared" si="0"/>
        <v>0.63715689389680541</v>
      </c>
      <c r="T12" s="53"/>
      <c r="U12" s="309" t="s">
        <v>515</v>
      </c>
      <c r="V12" s="307">
        <f>MEDIAN(Q11:Q14)</f>
        <v>0.65903403842918407</v>
      </c>
      <c r="W12" s="307">
        <f t="shared" ref="W12:X12" si="3">MEDIAN(R11:R14)</f>
        <v>0.65095235829030917</v>
      </c>
      <c r="X12" s="308">
        <f t="shared" si="3"/>
        <v>0.6289697803096006</v>
      </c>
      <c r="Y12" s="310">
        <f t="shared" ref="Y12:Y14" si="4">AVERAGE(V12:X12)</f>
        <v>0.64631872567636461</v>
      </c>
      <c r="Z12" s="64" t="s">
        <v>1312</v>
      </c>
      <c r="AB12" s="310">
        <f>1-Y12</f>
        <v>0.35368127432363539</v>
      </c>
    </row>
    <row r="13" spans="2:28" x14ac:dyDescent="0.45">
      <c r="B13" s="25"/>
      <c r="C13" s="53"/>
      <c r="D13" s="53"/>
      <c r="E13" s="53"/>
      <c r="F13" s="53"/>
      <c r="G13" s="296"/>
      <c r="H13" s="296"/>
      <c r="I13" s="296"/>
      <c r="J13" s="296"/>
      <c r="K13" s="53"/>
      <c r="L13" s="53"/>
      <c r="M13" s="306" t="s">
        <v>1307</v>
      </c>
      <c r="N13" s="297"/>
      <c r="O13" s="297"/>
      <c r="P13" s="298"/>
      <c r="Q13" s="307">
        <f t="shared" si="2"/>
        <v>0.6793030982875643</v>
      </c>
      <c r="R13" s="307">
        <f t="shared" si="0"/>
        <v>0.67180669349700484</v>
      </c>
      <c r="S13" s="308">
        <f t="shared" si="0"/>
        <v>0.62078266672239568</v>
      </c>
      <c r="T13" s="53"/>
      <c r="U13" s="309" t="s">
        <v>1310</v>
      </c>
      <c r="V13" s="307">
        <f>AVERAGE(Q11:Q14)</f>
        <v>0.64715514779603556</v>
      </c>
      <c r="W13" s="307">
        <f t="shared" ref="W13:X13" si="5">AVERAGE(R11:R14)</f>
        <v>0.63998748779107351</v>
      </c>
      <c r="X13" s="308">
        <f t="shared" si="5"/>
        <v>0.6247420774828355</v>
      </c>
      <c r="Y13" s="19">
        <f t="shared" si="4"/>
        <v>0.63729490435664815</v>
      </c>
    </row>
    <row r="14" spans="2:28" x14ac:dyDescent="0.45">
      <c r="B14" s="25"/>
      <c r="C14" s="53"/>
      <c r="D14" s="53"/>
      <c r="E14" s="53"/>
      <c r="F14" s="53"/>
      <c r="G14" s="296"/>
      <c r="H14" s="296"/>
      <c r="I14" s="296"/>
      <c r="J14" s="296"/>
      <c r="K14" s="53"/>
      <c r="L14" s="53"/>
      <c r="M14" s="311" t="s">
        <v>1308</v>
      </c>
      <c r="N14" s="312"/>
      <c r="O14" s="312"/>
      <c r="P14" s="313"/>
      <c r="Q14" s="314">
        <f t="shared" si="2"/>
        <v>0.50360360360360357</v>
      </c>
      <c r="R14" s="314">
        <f t="shared" si="0"/>
        <v>0.49787535410764872</v>
      </c>
      <c r="S14" s="315">
        <f t="shared" si="0"/>
        <v>0.49178571428571427</v>
      </c>
      <c r="T14" s="53"/>
      <c r="U14" s="316" t="s">
        <v>350</v>
      </c>
      <c r="V14" s="314">
        <f>MAX(Q11:Q14)</f>
        <v>0.76694891072217031</v>
      </c>
      <c r="W14" s="314">
        <f t="shared" ref="W14:X14" si="6">MAX(R11:R14)</f>
        <v>0.76016988047602729</v>
      </c>
      <c r="X14" s="315">
        <f t="shared" si="6"/>
        <v>0.74924303502642664</v>
      </c>
      <c r="Y14" s="19">
        <f t="shared" si="4"/>
        <v>0.75878727540820812</v>
      </c>
    </row>
    <row r="15" spans="2:28" x14ac:dyDescent="0.45">
      <c r="B15" s="25" t="s">
        <v>1313</v>
      </c>
      <c r="C15" s="53" t="s">
        <v>510</v>
      </c>
      <c r="D15" s="53" t="s">
        <v>510</v>
      </c>
      <c r="E15" s="53" t="s">
        <v>510</v>
      </c>
      <c r="F15" s="53" t="s">
        <v>510</v>
      </c>
      <c r="G15" s="53" t="s">
        <v>510</v>
      </c>
      <c r="H15" s="296">
        <v>12.231</v>
      </c>
      <c r="I15" s="296">
        <v>4.7519999999999998</v>
      </c>
      <c r="J15" s="53" t="s">
        <v>510</v>
      </c>
      <c r="K15" s="53" t="s">
        <v>510</v>
      </c>
      <c r="L15" s="53" t="s">
        <v>510</v>
      </c>
      <c r="M15" s="53" t="s">
        <v>510</v>
      </c>
      <c r="N15" s="297">
        <v>242188</v>
      </c>
      <c r="O15" s="297">
        <v>227297</v>
      </c>
      <c r="P15" s="53" t="s">
        <v>510</v>
      </c>
      <c r="Q15" s="53" t="s">
        <v>510</v>
      </c>
      <c r="R15" s="297">
        <v>804816</v>
      </c>
      <c r="S15" s="297">
        <v>714317</v>
      </c>
      <c r="T15" s="53" t="s">
        <v>510</v>
      </c>
      <c r="U15" s="53" t="s">
        <v>510</v>
      </c>
      <c r="V15" s="297">
        <v>1012336</v>
      </c>
      <c r="W15" s="297">
        <v>866972</v>
      </c>
    </row>
    <row r="17" spans="2:23" x14ac:dyDescent="0.45">
      <c r="B17" s="30" t="s">
        <v>1311</v>
      </c>
      <c r="C17" s="53" t="s">
        <v>510</v>
      </c>
      <c r="D17" s="53" t="s">
        <v>510</v>
      </c>
      <c r="E17" s="53" t="s">
        <v>510</v>
      </c>
      <c r="F17" s="53" t="s">
        <v>510</v>
      </c>
      <c r="G17" s="296">
        <v>-17.920000000000002</v>
      </c>
      <c r="H17" s="296">
        <v>-26.82</v>
      </c>
      <c r="I17" s="296">
        <v>-43.56</v>
      </c>
      <c r="J17" s="296">
        <v>10.39</v>
      </c>
      <c r="K17" s="53" t="s">
        <v>510</v>
      </c>
      <c r="L17" s="53" t="s">
        <v>510</v>
      </c>
      <c r="M17" s="297">
        <v>80879</v>
      </c>
      <c r="N17" s="297">
        <v>83460</v>
      </c>
      <c r="O17" s="297">
        <v>88253</v>
      </c>
      <c r="P17" s="53" t="s">
        <v>510</v>
      </c>
      <c r="Q17" s="297">
        <v>255338</v>
      </c>
      <c r="R17" s="297">
        <v>232644</v>
      </c>
      <c r="S17" s="297">
        <v>199683</v>
      </c>
      <c r="T17" s="53" t="s">
        <v>510</v>
      </c>
      <c r="U17" s="297">
        <v>332927</v>
      </c>
      <c r="V17" s="297">
        <v>309394</v>
      </c>
      <c r="W17" s="297">
        <v>279075</v>
      </c>
    </row>
    <row r="18" spans="2:23" x14ac:dyDescent="0.45">
      <c r="B18" s="30" t="s">
        <v>515</v>
      </c>
      <c r="C18" s="53" t="s">
        <v>510</v>
      </c>
      <c r="D18" s="53" t="s">
        <v>510</v>
      </c>
      <c r="E18" s="53" t="s">
        <v>510</v>
      </c>
      <c r="F18" s="53" t="s">
        <v>510</v>
      </c>
      <c r="G18" s="296">
        <v>14.45</v>
      </c>
      <c r="H18" s="296">
        <v>5.25</v>
      </c>
      <c r="I18" s="296">
        <v>-2.87</v>
      </c>
      <c r="J18" s="296">
        <v>15.41</v>
      </c>
      <c r="K18" s="53" t="s">
        <v>510</v>
      </c>
      <c r="L18" s="53" t="s">
        <v>510</v>
      </c>
      <c r="M18" s="297">
        <v>289784</v>
      </c>
      <c r="N18" s="297">
        <v>255167</v>
      </c>
      <c r="O18" s="297">
        <v>226806</v>
      </c>
      <c r="P18" s="53" t="s">
        <v>510</v>
      </c>
      <c r="Q18" s="297">
        <v>582785</v>
      </c>
      <c r="R18" s="297">
        <v>529338</v>
      </c>
      <c r="S18" s="297">
        <v>496298</v>
      </c>
      <c r="T18" s="53" t="s">
        <v>510</v>
      </c>
      <c r="U18" s="297">
        <v>1197248</v>
      </c>
      <c r="V18" s="297">
        <v>1116691</v>
      </c>
      <c r="W18" s="297">
        <v>1026199</v>
      </c>
    </row>
    <row r="19" spans="2:23" x14ac:dyDescent="0.45">
      <c r="B19" s="30" t="s">
        <v>1310</v>
      </c>
      <c r="C19" s="53" t="s">
        <v>510</v>
      </c>
      <c r="D19" s="53" t="s">
        <v>510</v>
      </c>
      <c r="E19" s="53" t="s">
        <v>510</v>
      </c>
      <c r="F19" s="53" t="s">
        <v>510</v>
      </c>
      <c r="G19" s="296">
        <v>11.62</v>
      </c>
      <c r="H19" s="296">
        <v>6.33</v>
      </c>
      <c r="I19" s="296">
        <v>-2.04</v>
      </c>
      <c r="J19" s="296">
        <v>34.54</v>
      </c>
      <c r="K19" s="53" t="s">
        <v>510</v>
      </c>
      <c r="L19" s="53" t="s">
        <v>510</v>
      </c>
      <c r="M19" s="297">
        <v>450099</v>
      </c>
      <c r="N19" s="297">
        <v>475851</v>
      </c>
      <c r="O19" s="297">
        <v>448190</v>
      </c>
      <c r="P19" s="53" t="s">
        <v>510</v>
      </c>
      <c r="Q19" s="297">
        <v>1335263</v>
      </c>
      <c r="R19" s="297">
        <v>1042471</v>
      </c>
      <c r="S19" s="297">
        <v>894042</v>
      </c>
      <c r="T19" s="53" t="s">
        <v>510</v>
      </c>
      <c r="U19" s="297">
        <v>2290794</v>
      </c>
      <c r="V19" s="297">
        <v>1873147</v>
      </c>
      <c r="W19" s="297">
        <v>1625084</v>
      </c>
    </row>
    <row r="20" spans="2:23" x14ac:dyDescent="0.45">
      <c r="B20" s="30" t="s">
        <v>350</v>
      </c>
      <c r="C20" s="53" t="s">
        <v>510</v>
      </c>
      <c r="D20" s="53" t="s">
        <v>510</v>
      </c>
      <c r="E20" s="53" t="s">
        <v>510</v>
      </c>
      <c r="F20" s="53" t="s">
        <v>510</v>
      </c>
      <c r="G20" s="296">
        <v>38.86</v>
      </c>
      <c r="H20" s="296">
        <v>37.46</v>
      </c>
      <c r="I20" s="296">
        <v>41.01</v>
      </c>
      <c r="J20" s="296">
        <v>147.09</v>
      </c>
      <c r="K20" s="53" t="s">
        <v>510</v>
      </c>
      <c r="L20" s="53" t="s">
        <v>510</v>
      </c>
      <c r="M20" s="297">
        <v>1351000</v>
      </c>
      <c r="N20" s="297">
        <v>1612000</v>
      </c>
      <c r="O20" s="297">
        <v>1485000</v>
      </c>
      <c r="P20" s="53" t="s">
        <v>510</v>
      </c>
      <c r="Q20" s="297">
        <v>4472000</v>
      </c>
      <c r="R20" s="297">
        <v>3515000</v>
      </c>
      <c r="S20" s="297">
        <v>2754000</v>
      </c>
      <c r="T20" s="53" t="s">
        <v>510</v>
      </c>
      <c r="U20" s="297">
        <v>8880000</v>
      </c>
      <c r="V20" s="297">
        <v>7060000</v>
      </c>
      <c r="W20" s="297">
        <v>5600000</v>
      </c>
    </row>
    <row r="22" spans="2:23" x14ac:dyDescent="0.45">
      <c r="C22" s="630" t="s">
        <v>1314</v>
      </c>
      <c r="D22" s="630"/>
      <c r="E22" s="630"/>
      <c r="F22" s="630"/>
      <c r="G22" s="630" t="s">
        <v>1315</v>
      </c>
      <c r="H22" s="630"/>
      <c r="I22" s="630"/>
      <c r="J22" s="630"/>
      <c r="K22" s="630" t="s">
        <v>1316</v>
      </c>
      <c r="L22" s="630"/>
      <c r="M22" s="630"/>
      <c r="N22" s="630"/>
      <c r="O22" s="630" t="s">
        <v>1317</v>
      </c>
      <c r="P22" s="630"/>
      <c r="Q22" s="630"/>
      <c r="R22" s="630"/>
    </row>
    <row r="23" spans="2:23" x14ac:dyDescent="0.45">
      <c r="B23" s="30" t="s">
        <v>1318</v>
      </c>
      <c r="C23" s="35">
        <v>2021</v>
      </c>
      <c r="D23" s="35">
        <v>2022</v>
      </c>
      <c r="E23" s="35">
        <v>2023</v>
      </c>
      <c r="F23" s="35">
        <v>2024</v>
      </c>
      <c r="G23" s="35">
        <v>2021</v>
      </c>
      <c r="H23" s="35">
        <v>2022</v>
      </c>
      <c r="I23" s="35">
        <v>2023</v>
      </c>
      <c r="J23" s="35">
        <v>2024</v>
      </c>
      <c r="K23" s="35">
        <v>2021</v>
      </c>
      <c r="L23" s="35">
        <v>2022</v>
      </c>
      <c r="M23" s="35">
        <v>2023</v>
      </c>
      <c r="N23" s="35">
        <v>2024</v>
      </c>
      <c r="O23" s="35">
        <v>2021</v>
      </c>
      <c r="P23" s="35">
        <v>2022</v>
      </c>
      <c r="Q23" s="35">
        <v>2023</v>
      </c>
      <c r="R23" s="35">
        <v>2024</v>
      </c>
    </row>
    <row r="24" spans="2:23" x14ac:dyDescent="0.45">
      <c r="C24" s="19"/>
      <c r="D24" s="19"/>
      <c r="E24" s="19"/>
      <c r="F24" s="19"/>
      <c r="G24" s="19"/>
      <c r="H24" s="19"/>
      <c r="I24" s="19"/>
      <c r="J24" s="19"/>
      <c r="K24" s="65"/>
      <c r="L24" s="65"/>
      <c r="M24" s="65"/>
      <c r="N24" s="65"/>
      <c r="O24" s="65"/>
      <c r="P24" s="65"/>
      <c r="Q24" s="65"/>
      <c r="R24" s="65"/>
    </row>
    <row r="25" spans="2:23" x14ac:dyDescent="0.45">
      <c r="B25" s="25" t="s">
        <v>1304</v>
      </c>
      <c r="C25" s="20">
        <v>0.29399999999999998</v>
      </c>
      <c r="D25" s="20">
        <v>0.316</v>
      </c>
      <c r="E25" s="20">
        <v>0.27</v>
      </c>
      <c r="F25" s="20">
        <v>0.24299999999999999</v>
      </c>
      <c r="G25" s="20">
        <v>0.23300000000000001</v>
      </c>
      <c r="H25" s="20">
        <v>0.249</v>
      </c>
      <c r="I25" s="20">
        <v>0.19</v>
      </c>
      <c r="J25" s="20">
        <v>0.186</v>
      </c>
      <c r="K25" s="71">
        <v>5036</v>
      </c>
      <c r="L25" s="71">
        <v>5786</v>
      </c>
      <c r="M25" s="71">
        <v>5994</v>
      </c>
      <c r="N25" s="71">
        <v>5884</v>
      </c>
      <c r="O25" s="71">
        <v>34324</v>
      </c>
      <c r="P25" s="71">
        <v>38708</v>
      </c>
      <c r="Q25" s="71">
        <v>40891</v>
      </c>
      <c r="R25" s="71">
        <v>44458</v>
      </c>
    </row>
    <row r="26" spans="2:23" x14ac:dyDescent="0.45">
      <c r="B26" s="148" t="s">
        <v>1319</v>
      </c>
      <c r="C26" s="19"/>
      <c r="D26" s="19"/>
      <c r="E26" s="19"/>
      <c r="F26" s="19"/>
      <c r="G26" s="19"/>
      <c r="H26" s="19"/>
      <c r="I26" s="19"/>
      <c r="J26" s="19"/>
      <c r="K26" s="65"/>
      <c r="L26" s="19">
        <f>L25/K25 -1</f>
        <v>0.14892772041302615</v>
      </c>
      <c r="M26" s="19">
        <f t="shared" ref="M26:N26" si="7">M25/L25 -1</f>
        <v>3.5948842032492268E-2</v>
      </c>
      <c r="N26" s="19">
        <f t="shared" si="7"/>
        <v>-1.8351685018351716E-2</v>
      </c>
      <c r="O26" s="19"/>
      <c r="P26" s="19">
        <f>P25/O25 - 1</f>
        <v>0.12772404148700622</v>
      </c>
      <c r="Q26" s="19">
        <f t="shared" ref="Q26:R26" si="8">Q25/P25 - 1</f>
        <v>5.6396610519789281E-2</v>
      </c>
      <c r="R26" s="19">
        <f t="shared" si="8"/>
        <v>8.723190922207813E-2</v>
      </c>
    </row>
    <row r="27" spans="2:23" x14ac:dyDescent="0.45">
      <c r="B27" s="25" t="s">
        <v>1306</v>
      </c>
      <c r="C27" s="20">
        <v>0.185</v>
      </c>
      <c r="D27" s="20">
        <v>0.19400000000000001</v>
      </c>
      <c r="E27" s="20">
        <v>0.19700000000000001</v>
      </c>
      <c r="F27" s="20">
        <v>0.17799999999999999</v>
      </c>
      <c r="G27" s="20">
        <v>9.0999999999999998E-2</v>
      </c>
      <c r="H27" s="20">
        <v>9.4E-2</v>
      </c>
      <c r="I27" s="20">
        <v>8.900000000000001E-2</v>
      </c>
      <c r="J27" s="20">
        <v>8.5999999999999993E-2</v>
      </c>
      <c r="K27" s="71">
        <v>21026</v>
      </c>
      <c r="L27" s="71">
        <v>20897</v>
      </c>
      <c r="M27" s="71">
        <v>21026</v>
      </c>
      <c r="N27" s="71">
        <v>20511</v>
      </c>
      <c r="O27" s="71">
        <v>203</v>
      </c>
      <c r="P27" s="71">
        <v>197</v>
      </c>
      <c r="Q27" s="71">
        <v>203</v>
      </c>
      <c r="R27" s="71">
        <v>220</v>
      </c>
    </row>
    <row r="28" spans="2:23" x14ac:dyDescent="0.45">
      <c r="B28" s="148" t="s">
        <v>1319</v>
      </c>
      <c r="C28" s="19"/>
      <c r="D28" s="19"/>
      <c r="E28" s="19"/>
      <c r="F28" s="19"/>
      <c r="G28" s="19"/>
      <c r="H28" s="19"/>
      <c r="I28" s="19"/>
      <c r="J28" s="19"/>
      <c r="K28" s="65"/>
      <c r="L28" s="19">
        <f>L27/K27 -1</f>
        <v>-6.135261105298162E-3</v>
      </c>
      <c r="M28" s="19">
        <f t="shared" ref="M28" si="9">M27/L27 -1</f>
        <v>6.1731348997464686E-3</v>
      </c>
      <c r="N28" s="19">
        <f t="shared" ref="N28" si="10">N27/M27 -1</f>
        <v>-2.4493484257585796E-2</v>
      </c>
      <c r="O28" s="19"/>
      <c r="P28" s="19">
        <f>P27/O27 - 1</f>
        <v>-2.9556650246305383E-2</v>
      </c>
      <c r="Q28" s="19">
        <f t="shared" ref="Q28" si="11">Q27/P27 - 1</f>
        <v>3.0456852791878264E-2</v>
      </c>
      <c r="R28" s="19">
        <f t="shared" ref="R28" si="12">R27/Q27 - 1</f>
        <v>8.3743842364532028E-2</v>
      </c>
    </row>
    <row r="29" spans="2:23" x14ac:dyDescent="0.45">
      <c r="B29" s="25" t="s">
        <v>1307</v>
      </c>
      <c r="C29" s="20">
        <v>0.40300000000000002</v>
      </c>
      <c r="D29" s="20">
        <v>0.35499999999999998</v>
      </c>
      <c r="E29" s="20">
        <v>0.25600000000000001</v>
      </c>
      <c r="F29" s="20">
        <v>0.24199999999999999</v>
      </c>
      <c r="G29" s="20">
        <v>0.13400000000000001</v>
      </c>
      <c r="H29" s="20">
        <v>0.123</v>
      </c>
      <c r="I29" s="20">
        <v>0.10199999999999999</v>
      </c>
      <c r="J29" s="20">
        <v>9.9000000000000005E-2</v>
      </c>
      <c r="K29" s="71">
        <v>5972000</v>
      </c>
      <c r="L29" s="71">
        <v>6070000</v>
      </c>
      <c r="M29" s="71">
        <v>6260000</v>
      </c>
      <c r="N29" s="71">
        <v>6180000</v>
      </c>
      <c r="O29" s="71">
        <v>1010000</v>
      </c>
      <c r="P29" s="71">
        <v>1080000</v>
      </c>
      <c r="Q29" s="71">
        <v>1190000</v>
      </c>
      <c r="R29" s="71">
        <v>1340000</v>
      </c>
    </row>
    <row r="30" spans="2:23" x14ac:dyDescent="0.45">
      <c r="B30" s="148" t="s">
        <v>1319</v>
      </c>
      <c r="C30" s="19"/>
      <c r="D30" s="19"/>
      <c r="E30" s="19"/>
      <c r="F30" s="19"/>
      <c r="G30" s="19"/>
      <c r="H30" s="19"/>
      <c r="I30" s="19"/>
      <c r="J30" s="19"/>
      <c r="K30" s="65"/>
      <c r="L30" s="19">
        <f>L29/K29 -1</f>
        <v>1.6409912926992565E-2</v>
      </c>
      <c r="M30" s="19">
        <f t="shared" ref="M30" si="13">M29/L29 -1</f>
        <v>3.13014827018121E-2</v>
      </c>
      <c r="N30" s="19">
        <f t="shared" ref="N30" si="14">N29/M29 -1</f>
        <v>-1.2779552715655007E-2</v>
      </c>
      <c r="O30" s="19"/>
      <c r="P30" s="19">
        <f>P29/O29 - 1</f>
        <v>6.9306930693069368E-2</v>
      </c>
      <c r="Q30" s="19">
        <f t="shared" ref="Q30" si="15">Q29/P29 - 1</f>
        <v>0.10185185185185186</v>
      </c>
      <c r="R30" s="19">
        <f t="shared" ref="R30" si="16">R29/Q29 - 1</f>
        <v>0.12605042016806722</v>
      </c>
    </row>
    <row r="31" spans="2:23" x14ac:dyDescent="0.45">
      <c r="B31" s="25" t="s">
        <v>1308</v>
      </c>
      <c r="C31" s="20">
        <v>0.19</v>
      </c>
      <c r="D31" s="20">
        <v>0.27</v>
      </c>
      <c r="E31" s="20">
        <v>0.25</v>
      </c>
      <c r="F31" s="20">
        <v>0.15</v>
      </c>
      <c r="G31" s="20">
        <v>0.08</v>
      </c>
      <c r="H31" s="20">
        <v>0.13</v>
      </c>
      <c r="I31" s="20">
        <v>7.0000000000000007E-2</v>
      </c>
      <c r="J31" s="20">
        <v>0.05</v>
      </c>
      <c r="K31" s="71"/>
      <c r="L31" s="71"/>
      <c r="M31" s="71"/>
      <c r="N31" s="71"/>
      <c r="O31" s="71">
        <v>149</v>
      </c>
      <c r="P31" s="71">
        <v>109</v>
      </c>
      <c r="Q31" s="71">
        <v>144</v>
      </c>
      <c r="R31" s="71">
        <v>178</v>
      </c>
    </row>
    <row r="32" spans="2:23" x14ac:dyDescent="0.45">
      <c r="C32" s="19"/>
      <c r="D32" s="19"/>
      <c r="E32" s="19"/>
      <c r="F32" s="19"/>
      <c r="G32" s="19"/>
      <c r="H32" s="19"/>
      <c r="I32" s="19"/>
      <c r="J32" s="19"/>
      <c r="K32" s="65"/>
      <c r="L32" s="19"/>
      <c r="M32" s="19"/>
      <c r="N32" s="19"/>
      <c r="O32" s="299" t="s">
        <v>1310</v>
      </c>
      <c r="P32" s="19">
        <f>P31/O31 - 1</f>
        <v>-0.26845637583892612</v>
      </c>
      <c r="Q32" s="19">
        <f t="shared" ref="Q32" si="17">Q31/P31 - 1</f>
        <v>0.32110091743119273</v>
      </c>
      <c r="R32" s="19">
        <f t="shared" ref="R32" si="18">R31/Q31 - 1</f>
        <v>0.23611111111111116</v>
      </c>
      <c r="S32" s="299" t="s">
        <v>1310</v>
      </c>
    </row>
    <row r="33" spans="2:19" x14ac:dyDescent="0.45">
      <c r="B33" s="30" t="s">
        <v>1311</v>
      </c>
      <c r="C33" s="317">
        <f>MIN(C25:C31)</f>
        <v>0.185</v>
      </c>
      <c r="D33" s="318">
        <f t="shared" ref="D33:J33" si="19">MIN(D25:D31)</f>
        <v>0.19400000000000001</v>
      </c>
      <c r="E33" s="318">
        <f t="shared" si="19"/>
        <v>0.19700000000000001</v>
      </c>
      <c r="F33" s="318">
        <f t="shared" si="19"/>
        <v>0.15</v>
      </c>
      <c r="G33" s="318">
        <f t="shared" si="19"/>
        <v>0.08</v>
      </c>
      <c r="H33" s="318">
        <f t="shared" si="19"/>
        <v>9.4E-2</v>
      </c>
      <c r="I33" s="318">
        <f t="shared" si="19"/>
        <v>7.0000000000000007E-2</v>
      </c>
      <c r="J33" s="319">
        <f t="shared" si="19"/>
        <v>0.05</v>
      </c>
      <c r="K33" s="65"/>
      <c r="L33" s="317">
        <f>MIN(L30,L28,L26)</f>
        <v>-6.135261105298162E-3</v>
      </c>
      <c r="M33" s="318">
        <f t="shared" ref="M33:N33" si="20">MIN(M30,M28,M26)</f>
        <v>6.1731348997464686E-3</v>
      </c>
      <c r="N33" s="319">
        <f t="shared" si="20"/>
        <v>-2.4493484257585796E-2</v>
      </c>
      <c r="O33" s="19">
        <f>AVERAGE(L33:N33)</f>
        <v>-8.1518701543791625E-3</v>
      </c>
      <c r="P33" s="317">
        <f t="shared" ref="P33:R33" si="21">MEDIAN(P26,P28,P30,P32)</f>
        <v>1.9875140223381993E-2</v>
      </c>
      <c r="Q33" s="318">
        <f t="shared" si="21"/>
        <v>7.912423118582057E-2</v>
      </c>
      <c r="R33" s="319">
        <f t="shared" si="21"/>
        <v>0.10664116469507268</v>
      </c>
      <c r="S33" s="19">
        <f>AVERAGE(P33:R33)</f>
        <v>6.8546845368091747E-2</v>
      </c>
    </row>
    <row r="34" spans="2:19" x14ac:dyDescent="0.45">
      <c r="B34" s="30" t="s">
        <v>515</v>
      </c>
      <c r="C34" s="320">
        <f>MEDIAN(C25:C31)</f>
        <v>0.24199999999999999</v>
      </c>
      <c r="D34" s="19">
        <f t="shared" ref="D34:J34" si="22">MEDIAN(D25:D31)</f>
        <v>0.29300000000000004</v>
      </c>
      <c r="E34" s="19">
        <f t="shared" si="22"/>
        <v>0.253</v>
      </c>
      <c r="F34" s="19">
        <f t="shared" si="22"/>
        <v>0.21</v>
      </c>
      <c r="G34" s="19">
        <f t="shared" si="22"/>
        <v>0.1125</v>
      </c>
      <c r="H34" s="19">
        <f t="shared" si="22"/>
        <v>0.1265</v>
      </c>
      <c r="I34" s="19">
        <f t="shared" si="22"/>
        <v>9.5500000000000002E-2</v>
      </c>
      <c r="J34" s="321">
        <f t="shared" si="22"/>
        <v>9.2499999999999999E-2</v>
      </c>
      <c r="K34" s="65"/>
      <c r="L34" s="320">
        <f>MEDIAN(L30,L28,L26)</f>
        <v>1.6409912926992565E-2</v>
      </c>
      <c r="M34" s="19">
        <f t="shared" ref="M34:N34" si="23">MEDIAN(M30,M28,M26)</f>
        <v>3.13014827018121E-2</v>
      </c>
      <c r="N34" s="321">
        <f t="shared" si="23"/>
        <v>-1.8351685018351716E-2</v>
      </c>
      <c r="O34" s="310">
        <f t="shared" ref="O34:O36" si="24">AVERAGE(L34:N34)</f>
        <v>9.7865702034843158E-3</v>
      </c>
      <c r="P34" s="320">
        <f>MEDIAN(P30,P28,P26,P32)</f>
        <v>1.9875140223381993E-2</v>
      </c>
      <c r="Q34" s="19">
        <f t="shared" ref="Q34:R34" si="25">MEDIAN(Q30,Q28,Q26,Q32)</f>
        <v>7.912423118582057E-2</v>
      </c>
      <c r="R34" s="321">
        <f t="shared" si="25"/>
        <v>0.10664116469507268</v>
      </c>
      <c r="S34" s="310">
        <f t="shared" ref="S34:S36" si="26">AVERAGE(P34:R34)</f>
        <v>6.8546845368091747E-2</v>
      </c>
    </row>
    <row r="35" spans="2:19" x14ac:dyDescent="0.45">
      <c r="B35" s="30" t="s">
        <v>1310</v>
      </c>
      <c r="C35" s="320">
        <f>AVERAGE(C25:C31)</f>
        <v>0.26800000000000002</v>
      </c>
      <c r="D35" s="19">
        <f t="shared" ref="D35:J35" si="27">AVERAGE(D25:D31)</f>
        <v>0.28375</v>
      </c>
      <c r="E35" s="19">
        <f t="shared" si="27"/>
        <v>0.24325000000000002</v>
      </c>
      <c r="F35" s="19">
        <f t="shared" si="27"/>
        <v>0.20325000000000001</v>
      </c>
      <c r="G35" s="19">
        <f t="shared" si="27"/>
        <v>0.13450000000000001</v>
      </c>
      <c r="H35" s="19">
        <f t="shared" si="27"/>
        <v>0.14899999999999999</v>
      </c>
      <c r="I35" s="19">
        <f t="shared" si="27"/>
        <v>0.11275</v>
      </c>
      <c r="J35" s="321">
        <f t="shared" si="27"/>
        <v>0.10525</v>
      </c>
      <c r="K35" s="65"/>
      <c r="L35" s="320">
        <f>AVERAGE(L30,L28,L26)</f>
        <v>5.3067457411573517E-2</v>
      </c>
      <c r="M35" s="19">
        <f t="shared" ref="M35:N35" si="28">AVERAGE(M30,M28,M26)</f>
        <v>2.4474486544683611E-2</v>
      </c>
      <c r="N35" s="321">
        <f t="shared" si="28"/>
        <v>-1.8541573997197507E-2</v>
      </c>
      <c r="O35" s="19">
        <f t="shared" si="24"/>
        <v>1.9666789986353208E-2</v>
      </c>
      <c r="P35" s="320">
        <f t="shared" ref="P35:R35" si="29">AVERAGE(P32,P30,P28,P26)</f>
        <v>-2.5245513476288978E-2</v>
      </c>
      <c r="Q35" s="19">
        <f t="shared" si="29"/>
        <v>0.12745155814867803</v>
      </c>
      <c r="R35" s="321">
        <f t="shared" si="29"/>
        <v>0.13328432071644714</v>
      </c>
      <c r="S35" s="19">
        <f t="shared" si="26"/>
        <v>7.8496788462945402E-2</v>
      </c>
    </row>
    <row r="36" spans="2:19" x14ac:dyDescent="0.45">
      <c r="B36" s="30" t="s">
        <v>350</v>
      </c>
      <c r="C36" s="322">
        <f>MAX(C25:C31)</f>
        <v>0.40300000000000002</v>
      </c>
      <c r="D36" s="323">
        <f t="shared" ref="D36:J36" si="30">MAX(D25:D31)</f>
        <v>0.35499999999999998</v>
      </c>
      <c r="E36" s="323">
        <f t="shared" si="30"/>
        <v>0.27</v>
      </c>
      <c r="F36" s="323">
        <f t="shared" si="30"/>
        <v>0.24299999999999999</v>
      </c>
      <c r="G36" s="323">
        <f t="shared" si="30"/>
        <v>0.23300000000000001</v>
      </c>
      <c r="H36" s="323">
        <f t="shared" si="30"/>
        <v>0.249</v>
      </c>
      <c r="I36" s="323">
        <f t="shared" si="30"/>
        <v>0.19</v>
      </c>
      <c r="J36" s="324">
        <f t="shared" si="30"/>
        <v>0.186</v>
      </c>
      <c r="K36" s="65"/>
      <c r="L36" s="322">
        <f>MAX(L30,L28,L26)</f>
        <v>0.14892772041302615</v>
      </c>
      <c r="M36" s="323">
        <f t="shared" ref="M36:N36" si="31">MAX(M30,M28,M26)</f>
        <v>3.5948842032492268E-2</v>
      </c>
      <c r="N36" s="324">
        <f t="shared" si="31"/>
        <v>-1.2779552715655007E-2</v>
      </c>
      <c r="O36" s="19">
        <f t="shared" si="24"/>
        <v>5.7365669909954474E-2</v>
      </c>
      <c r="P36" s="322">
        <f t="shared" ref="P36:R36" si="32">MAX(P32,P30,P28,P26)</f>
        <v>0.12772404148700622</v>
      </c>
      <c r="Q36" s="323">
        <f t="shared" si="32"/>
        <v>0.32110091743119273</v>
      </c>
      <c r="R36" s="324">
        <f t="shared" si="32"/>
        <v>0.23611111111111116</v>
      </c>
      <c r="S36" s="19">
        <f t="shared" si="26"/>
        <v>0.22831202334310338</v>
      </c>
    </row>
    <row r="38" spans="2:19" x14ac:dyDescent="0.45">
      <c r="F38" s="299" t="s">
        <v>1310</v>
      </c>
      <c r="G38" s="299" t="s">
        <v>1310</v>
      </c>
      <c r="J38" s="299"/>
    </row>
    <row r="39" spans="2:19" x14ac:dyDescent="0.45">
      <c r="E39" s="30" t="s">
        <v>1311</v>
      </c>
      <c r="F39" s="19">
        <f>AVERAGE(C33:F33)</f>
        <v>0.18150000000000002</v>
      </c>
      <c r="G39" s="19">
        <f>AVERAGE(G33:J33)</f>
        <v>7.3499999999999996E-2</v>
      </c>
    </row>
    <row r="40" spans="2:19" x14ac:dyDescent="0.45">
      <c r="E40" s="30" t="s">
        <v>515</v>
      </c>
      <c r="F40" s="310">
        <f t="shared" ref="F40:F42" si="33">AVERAGE(C34:F34)</f>
        <v>0.2495</v>
      </c>
      <c r="G40" s="310">
        <f t="shared" ref="G40:G42" si="34">AVERAGE(G34:J34)</f>
        <v>0.10675000000000001</v>
      </c>
    </row>
    <row r="41" spans="2:19" x14ac:dyDescent="0.45">
      <c r="E41" s="30" t="s">
        <v>1310</v>
      </c>
      <c r="F41" s="19">
        <f t="shared" si="33"/>
        <v>0.24956249999999999</v>
      </c>
      <c r="G41" s="19">
        <f t="shared" si="34"/>
        <v>0.12537499999999999</v>
      </c>
    </row>
    <row r="42" spans="2:19" x14ac:dyDescent="0.45">
      <c r="E42" s="30" t="s">
        <v>350</v>
      </c>
      <c r="F42" s="19">
        <f t="shared" si="33"/>
        <v>0.31774999999999998</v>
      </c>
      <c r="G42" s="19">
        <f t="shared" si="34"/>
        <v>0.21449999999999997</v>
      </c>
    </row>
    <row r="44" spans="2:19" ht="28.5" x14ac:dyDescent="0.45">
      <c r="B44" s="294" t="s">
        <v>1296</v>
      </c>
      <c r="C44" s="295" t="s">
        <v>1297</v>
      </c>
      <c r="D44" s="295" t="s">
        <v>1320</v>
      </c>
      <c r="E44" s="295" t="s">
        <v>1320</v>
      </c>
    </row>
    <row r="45" spans="2:19" x14ac:dyDescent="0.45">
      <c r="B45" s="294"/>
      <c r="C45" s="295" t="s">
        <v>1321</v>
      </c>
      <c r="D45" s="295" t="s">
        <v>1298</v>
      </c>
      <c r="E45" s="295" t="s">
        <v>1322</v>
      </c>
    </row>
    <row r="46" spans="2:19" x14ac:dyDescent="0.45">
      <c r="B46" s="294"/>
      <c r="C46" s="295"/>
      <c r="D46" s="295"/>
      <c r="E46" s="295"/>
    </row>
    <row r="47" spans="2:19" x14ac:dyDescent="0.45">
      <c r="B47" s="325" t="s">
        <v>1323</v>
      </c>
      <c r="C47" s="295"/>
      <c r="D47" s="295"/>
      <c r="E47" s="295"/>
    </row>
    <row r="48" spans="2:19" x14ac:dyDescent="0.45">
      <c r="B48" s="294"/>
      <c r="C48" s="295"/>
      <c r="D48" s="295"/>
      <c r="E48" s="295"/>
    </row>
    <row r="49" spans="2:6" x14ac:dyDescent="0.45">
      <c r="B49" s="25" t="s">
        <v>1308</v>
      </c>
      <c r="C49" s="326">
        <v>88.666486000000006</v>
      </c>
      <c r="D49" s="326">
        <v>76.168086468595803</v>
      </c>
      <c r="E49" s="326">
        <v>56.308051676292997</v>
      </c>
    </row>
    <row r="50" spans="2:6" x14ac:dyDescent="0.45">
      <c r="B50" s="25" t="s">
        <v>1307</v>
      </c>
      <c r="C50" s="326">
        <v>22.166385999999999</v>
      </c>
      <c r="D50" s="326">
        <v>10.358267964792001</v>
      </c>
      <c r="E50" s="326">
        <v>10.022364704972199</v>
      </c>
    </row>
    <row r="51" spans="2:6" x14ac:dyDescent="0.45">
      <c r="B51" s="25" t="s">
        <v>1304</v>
      </c>
      <c r="C51" s="326">
        <v>24.164455</v>
      </c>
      <c r="D51" s="326">
        <v>8.3502830568235993</v>
      </c>
      <c r="E51" s="326">
        <v>7.4593764804231997</v>
      </c>
    </row>
    <row r="52" spans="2:6" x14ac:dyDescent="0.45">
      <c r="B52" s="25" t="s">
        <v>1306</v>
      </c>
      <c r="C52" s="326">
        <v>12.948608999999999</v>
      </c>
      <c r="D52" s="326">
        <v>10.265959556139</v>
      </c>
      <c r="E52" s="326">
        <v>9.2822502142120005</v>
      </c>
    </row>
    <row r="53" spans="2:6" x14ac:dyDescent="0.45">
      <c r="B53" s="25"/>
      <c r="C53" s="326"/>
      <c r="D53" s="326"/>
      <c r="E53" s="326"/>
      <c r="F53" s="11" t="s">
        <v>1310</v>
      </c>
    </row>
    <row r="54" spans="2:6" x14ac:dyDescent="0.45">
      <c r="B54" s="30" t="s">
        <v>1311</v>
      </c>
      <c r="C54" s="327">
        <f>MIN(C49:C52)</f>
        <v>12.948608999999999</v>
      </c>
      <c r="D54" s="328">
        <f t="shared" ref="D54:E54" si="35">MIN(D49:D52)</f>
        <v>8.3502830568235993</v>
      </c>
      <c r="E54" s="329">
        <f t="shared" si="35"/>
        <v>7.4593764804231997</v>
      </c>
      <c r="F54" s="220">
        <f>AVERAGE(C54:E54)</f>
        <v>9.5860895124155991</v>
      </c>
    </row>
    <row r="55" spans="2:6" x14ac:dyDescent="0.45">
      <c r="B55" s="30" t="s">
        <v>515</v>
      </c>
      <c r="C55" s="330">
        <f>MEDIAN(C49:C52)</f>
        <v>23.1654205</v>
      </c>
      <c r="D55" s="331">
        <f t="shared" ref="D55:E55" si="36">MEDIAN(D49:D52)</f>
        <v>10.3121137604655</v>
      </c>
      <c r="E55" s="332">
        <f t="shared" si="36"/>
        <v>9.6523074595920999</v>
      </c>
      <c r="F55" s="220">
        <f t="shared" ref="F55:F57" si="37">AVERAGE(C55:E55)</f>
        <v>14.376613906685868</v>
      </c>
    </row>
    <row r="56" spans="2:6" x14ac:dyDescent="0.45">
      <c r="B56" s="30" t="s">
        <v>1310</v>
      </c>
      <c r="C56" s="330">
        <f>AVERAGE(C49:C52)</f>
        <v>36.986484000000004</v>
      </c>
      <c r="D56" s="331">
        <f t="shared" ref="D56:E56" si="38">AVERAGE(D49:D52)</f>
        <v>26.285649261587601</v>
      </c>
      <c r="E56" s="332">
        <f t="shared" si="38"/>
        <v>20.768010768975099</v>
      </c>
      <c r="F56" s="220">
        <f t="shared" si="37"/>
        <v>28.013381343520901</v>
      </c>
    </row>
    <row r="57" spans="2:6" x14ac:dyDescent="0.45">
      <c r="B57" s="30" t="s">
        <v>350</v>
      </c>
      <c r="C57" s="333">
        <f>MAX(C49:C52)</f>
        <v>88.666486000000006</v>
      </c>
      <c r="D57" s="334">
        <f t="shared" ref="D57:E57" si="39">MAX(D49:D52)</f>
        <v>76.168086468595803</v>
      </c>
      <c r="E57" s="335">
        <f t="shared" si="39"/>
        <v>56.308051676292997</v>
      </c>
      <c r="F57" s="220">
        <f t="shared" si="37"/>
        <v>73.714208048296271</v>
      </c>
    </row>
    <row r="58" spans="2:6" x14ac:dyDescent="0.45">
      <c r="B58" s="25"/>
      <c r="C58" s="326"/>
      <c r="D58" s="326"/>
      <c r="E58" s="326"/>
    </row>
    <row r="59" spans="2:6" x14ac:dyDescent="0.45">
      <c r="B59" s="325" t="s">
        <v>1324</v>
      </c>
      <c r="C59" s="326"/>
      <c r="D59" s="326"/>
      <c r="E59" s="326"/>
    </row>
    <row r="60" spans="2:6" x14ac:dyDescent="0.45">
      <c r="B60" s="325"/>
      <c r="C60" s="326"/>
      <c r="D60" s="326"/>
      <c r="E60" s="326"/>
    </row>
    <row r="61" spans="2:6" x14ac:dyDescent="0.45">
      <c r="B61" s="25" t="s">
        <v>1325</v>
      </c>
      <c r="C61" s="326">
        <v>6.9832590000000003</v>
      </c>
      <c r="D61" s="326">
        <v>9.7308028219284992</v>
      </c>
      <c r="E61" s="326">
        <v>9.1358666428450004</v>
      </c>
    </row>
    <row r="62" spans="2:6" x14ac:dyDescent="0.45">
      <c r="B62" s="25" t="s">
        <v>1326</v>
      </c>
      <c r="C62" s="326" t="s">
        <v>510</v>
      </c>
      <c r="D62" s="326" t="s">
        <v>510</v>
      </c>
      <c r="E62" s="326" t="s">
        <v>510</v>
      </c>
    </row>
    <row r="63" spans="2:6" x14ac:dyDescent="0.45">
      <c r="B63" s="25" t="s">
        <v>1327</v>
      </c>
      <c r="C63" s="326" t="s">
        <v>1305</v>
      </c>
      <c r="D63" s="326">
        <v>27.9359329338332</v>
      </c>
      <c r="E63" s="326">
        <v>21.306841760035802</v>
      </c>
    </row>
    <row r="64" spans="2:6" x14ac:dyDescent="0.45">
      <c r="B64" s="25" t="s">
        <v>1328</v>
      </c>
      <c r="C64" s="326" t="s">
        <v>1305</v>
      </c>
      <c r="D64" s="326" t="s">
        <v>1305</v>
      </c>
      <c r="E64" s="326">
        <v>23.251788064651201</v>
      </c>
    </row>
    <row r="65" spans="2:6" x14ac:dyDescent="0.45">
      <c r="B65" s="25" t="s">
        <v>1329</v>
      </c>
      <c r="C65" s="326" t="s">
        <v>1305</v>
      </c>
      <c r="D65" s="326">
        <v>8.7125588322087992</v>
      </c>
      <c r="E65" s="326">
        <v>8.0718730242467007</v>
      </c>
    </row>
    <row r="66" spans="2:6" x14ac:dyDescent="0.45">
      <c r="B66" s="25" t="s">
        <v>1330</v>
      </c>
      <c r="C66" s="326" t="s">
        <v>1305</v>
      </c>
      <c r="D66" s="326">
        <v>16.962747114075501</v>
      </c>
      <c r="E66" s="326">
        <v>10.858428320341099</v>
      </c>
    </row>
    <row r="67" spans="2:6" x14ac:dyDescent="0.45">
      <c r="B67" s="25" t="s">
        <v>1331</v>
      </c>
      <c r="C67" s="326">
        <v>15.190045</v>
      </c>
      <c r="D67" s="326">
        <v>17.3770853665959</v>
      </c>
      <c r="E67" s="326">
        <v>9.5975699467909994</v>
      </c>
    </row>
    <row r="68" spans="2:6" x14ac:dyDescent="0.45">
      <c r="B68" s="25" t="s">
        <v>1308</v>
      </c>
      <c r="C68" s="326">
        <v>88.666486000000006</v>
      </c>
      <c r="D68" s="326">
        <v>76.168086468595803</v>
      </c>
      <c r="E68" s="326">
        <v>56.308051676292997</v>
      </c>
    </row>
    <row r="69" spans="2:6" x14ac:dyDescent="0.45">
      <c r="B69" s="25" t="s">
        <v>1332</v>
      </c>
      <c r="C69" s="326" t="s">
        <v>1305</v>
      </c>
      <c r="D69" s="326">
        <v>15.5122266007535</v>
      </c>
      <c r="E69" s="326">
        <v>12.8970333696578</v>
      </c>
    </row>
    <row r="70" spans="2:6" x14ac:dyDescent="0.45">
      <c r="B70" s="25" t="s">
        <v>1333</v>
      </c>
      <c r="C70" s="326">
        <v>27.721934000000001</v>
      </c>
      <c r="D70" s="326">
        <v>26.569410310449701</v>
      </c>
      <c r="E70" s="326">
        <v>17.990790990650599</v>
      </c>
    </row>
    <row r="71" spans="2:6" x14ac:dyDescent="0.45">
      <c r="B71" s="25" t="s">
        <v>1334</v>
      </c>
      <c r="C71" s="326">
        <v>46.461919999999999</v>
      </c>
      <c r="D71" s="326">
        <v>24.173469481937101</v>
      </c>
      <c r="E71" s="326">
        <v>18.983147308474301</v>
      </c>
    </row>
    <row r="72" spans="2:6" x14ac:dyDescent="0.45">
      <c r="B72" s="25" t="s">
        <v>1335</v>
      </c>
      <c r="C72" s="326">
        <v>26.799202000000001</v>
      </c>
      <c r="D72" s="326">
        <v>26.9070968920418</v>
      </c>
      <c r="E72" s="326">
        <v>12.2486565417876</v>
      </c>
    </row>
    <row r="73" spans="2:6" x14ac:dyDescent="0.45">
      <c r="F73" s="11" t="s">
        <v>1310</v>
      </c>
    </row>
    <row r="74" spans="2:6" x14ac:dyDescent="0.45">
      <c r="B74" s="30" t="s">
        <v>1311</v>
      </c>
      <c r="C74" s="327">
        <f>MIN(C61:C72)</f>
        <v>6.9832590000000003</v>
      </c>
      <c r="D74" s="328">
        <f>MIN(D61:D72)</f>
        <v>8.7125588322087992</v>
      </c>
      <c r="E74" s="329">
        <f>MIN(E61:E72)</f>
        <v>8.0718730242467007</v>
      </c>
      <c r="F74" s="220">
        <f>AVERAGE(C74:E74)</f>
        <v>7.9225636188185007</v>
      </c>
    </row>
    <row r="75" spans="2:6" x14ac:dyDescent="0.45">
      <c r="B75" s="30" t="s">
        <v>515</v>
      </c>
      <c r="C75" s="330">
        <f>MEDIAN(C61:C72)</f>
        <v>27.260567999999999</v>
      </c>
      <c r="D75" s="331">
        <f>MEDIAN(D61:D72)</f>
        <v>20.775277424266498</v>
      </c>
      <c r="E75" s="332">
        <f>MEDIAN(E61:E72)</f>
        <v>12.8970333696578</v>
      </c>
      <c r="F75" s="220">
        <f t="shared" ref="F75:F77" si="40">AVERAGE(C75:E75)</f>
        <v>20.310959597974765</v>
      </c>
    </row>
    <row r="76" spans="2:6" x14ac:dyDescent="0.45">
      <c r="B76" s="30" t="s">
        <v>1310</v>
      </c>
      <c r="C76" s="330">
        <f>AVERAGE(C61:C72)</f>
        <v>35.303807666666664</v>
      </c>
      <c r="D76" s="331">
        <f>AVERAGE(D61:D72)</f>
        <v>25.004941682241984</v>
      </c>
      <c r="E76" s="332">
        <f>AVERAGE(E61:E72)</f>
        <v>18.240913422343098</v>
      </c>
      <c r="F76" s="220">
        <f t="shared" si="40"/>
        <v>26.183220923750582</v>
      </c>
    </row>
    <row r="77" spans="2:6" x14ac:dyDescent="0.45">
      <c r="B77" s="30" t="s">
        <v>350</v>
      </c>
      <c r="C77" s="333">
        <f>MAX(C61:C72)</f>
        <v>88.666486000000006</v>
      </c>
      <c r="D77" s="334">
        <f>MAX(D61:D72)</f>
        <v>76.168086468595803</v>
      </c>
      <c r="E77" s="335">
        <f>MAX(E61:E72)</f>
        <v>56.308051676292997</v>
      </c>
      <c r="F77" s="220">
        <f t="shared" si="40"/>
        <v>73.714208048296271</v>
      </c>
    </row>
  </sheetData>
  <mergeCells count="4">
    <mergeCell ref="C22:F22"/>
    <mergeCell ref="G22:J22"/>
    <mergeCell ref="K22:N22"/>
    <mergeCell ref="O22:R22"/>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7B55B8-4D9D-45EA-A928-D785335CF24A}">
  <dimension ref="B2:BS62"/>
  <sheetViews>
    <sheetView showGridLines="0" zoomScale="85" zoomScaleNormal="85" workbookViewId="0">
      <pane xSplit="7" ySplit="4" topLeftCell="H5" activePane="bottomRight" state="frozen"/>
      <selection pane="topRight" activeCell="H1" sqref="H1"/>
      <selection pane="bottomLeft" activeCell="A5" sqref="A5"/>
      <selection pane="bottomRight" activeCell="B2" sqref="B2"/>
    </sheetView>
  </sheetViews>
  <sheetFormatPr defaultColWidth="8.6640625" defaultRowHeight="14.25" x14ac:dyDescent="0.45"/>
  <cols>
    <col min="1" max="1" width="4.6640625" customWidth="1"/>
    <col min="2" max="2" width="13.1328125" bestFit="1" customWidth="1"/>
    <col min="3" max="9" width="8.6640625" bestFit="1" customWidth="1"/>
    <col min="10" max="10" width="10.1328125" customWidth="1"/>
    <col min="11" max="14" width="8.6640625" bestFit="1" customWidth="1"/>
    <col min="15" max="15" width="8.1328125" customWidth="1"/>
    <col min="16" max="22" width="8.6640625" bestFit="1" customWidth="1"/>
    <col min="23" max="23" width="10.1328125" customWidth="1"/>
    <col min="25" max="45" width="8.6640625" bestFit="1" customWidth="1"/>
    <col min="46" max="46" width="8.6640625" style="258" bestFit="1" customWidth="1"/>
    <col min="47" max="47" width="8.6640625" bestFit="1" customWidth="1"/>
    <col min="48" max="50" width="11.6640625" bestFit="1" customWidth="1"/>
    <col min="51" max="51" width="11.6640625" customWidth="1"/>
    <col min="52" max="52" width="7" bestFit="1" customWidth="1"/>
    <col min="53" max="55" width="13.1328125" bestFit="1" customWidth="1"/>
    <col min="56" max="56" width="13.1328125" customWidth="1"/>
  </cols>
  <sheetData>
    <row r="2" spans="2:70" x14ac:dyDescent="0.45">
      <c r="AV2" s="259" t="s">
        <v>163</v>
      </c>
      <c r="AW2" s="259"/>
      <c r="AX2" s="259"/>
      <c r="AY2" s="259"/>
      <c r="AZ2" s="259"/>
      <c r="BA2" s="259"/>
      <c r="BB2" s="259"/>
      <c r="BC2" s="259"/>
      <c r="BD2" s="259"/>
      <c r="BE2" s="259"/>
      <c r="BF2" s="259"/>
      <c r="BG2" s="259"/>
      <c r="BH2" s="259"/>
      <c r="BI2" s="259"/>
      <c r="BJ2" s="259"/>
      <c r="BK2" s="259"/>
      <c r="BL2" s="259"/>
      <c r="BM2" s="259"/>
      <c r="BN2" s="259"/>
      <c r="BO2" s="259"/>
      <c r="BP2" s="259"/>
      <c r="BQ2" s="259"/>
      <c r="BR2" s="259"/>
    </row>
    <row r="3" spans="2:70" x14ac:dyDescent="0.45">
      <c r="J3" s="260" t="s">
        <v>1336</v>
      </c>
      <c r="K3" s="261"/>
      <c r="O3" s="262" t="s">
        <v>1337</v>
      </c>
      <c r="P3" s="262"/>
      <c r="S3" s="262" t="s">
        <v>1338</v>
      </c>
      <c r="T3" s="262"/>
      <c r="W3" s="260" t="s">
        <v>1339</v>
      </c>
      <c r="X3" s="263"/>
      <c r="Y3" s="263"/>
      <c r="AA3" s="264" t="s">
        <v>1340</v>
      </c>
      <c r="AB3" s="264"/>
      <c r="AC3" s="264"/>
      <c r="AF3" s="262" t="s">
        <v>1314</v>
      </c>
      <c r="AG3" s="263"/>
      <c r="AH3" s="263"/>
      <c r="AI3" s="263"/>
      <c r="AJ3" s="263"/>
      <c r="AM3" s="262" t="s">
        <v>1315</v>
      </c>
      <c r="AN3" s="263"/>
      <c r="AO3" s="263"/>
      <c r="AP3" s="263"/>
      <c r="AQ3" s="263"/>
      <c r="AT3" s="265" t="s">
        <v>1341</v>
      </c>
      <c r="AV3" s="639" t="s">
        <v>1342</v>
      </c>
      <c r="AW3" s="639"/>
      <c r="AX3" s="639"/>
      <c r="AY3" s="266"/>
      <c r="BA3" s="639" t="s">
        <v>1343</v>
      </c>
      <c r="BB3" s="639"/>
      <c r="BC3" s="639"/>
      <c r="BD3" s="266"/>
      <c r="BF3" s="639" t="s">
        <v>1344</v>
      </c>
      <c r="BG3" s="639"/>
      <c r="BH3" s="639"/>
      <c r="BI3" s="266"/>
      <c r="BJ3" s="266"/>
      <c r="BK3" s="639" t="s">
        <v>1345</v>
      </c>
      <c r="BL3" s="639"/>
      <c r="BM3" s="639"/>
      <c r="BN3" s="266"/>
      <c r="BP3" s="639" t="s">
        <v>1346</v>
      </c>
      <c r="BQ3" s="639"/>
      <c r="BR3" s="639"/>
    </row>
    <row r="5" spans="2:70" x14ac:dyDescent="0.45">
      <c r="J5" s="187">
        <v>2023</v>
      </c>
      <c r="K5" s="187">
        <v>2024</v>
      </c>
      <c r="L5" s="187"/>
      <c r="M5" s="187"/>
      <c r="N5" s="187"/>
      <c r="O5" s="187">
        <v>2023</v>
      </c>
      <c r="P5" s="187">
        <v>2024</v>
      </c>
      <c r="Q5" s="187"/>
      <c r="R5" s="187"/>
      <c r="S5" s="187">
        <v>2023</v>
      </c>
      <c r="T5" s="187">
        <v>2024</v>
      </c>
      <c r="U5" s="187"/>
      <c r="V5" s="187"/>
      <c r="W5" s="187">
        <v>2023</v>
      </c>
      <c r="X5" s="187">
        <v>2024</v>
      </c>
      <c r="AA5" s="222">
        <v>2023</v>
      </c>
      <c r="AB5" s="222">
        <v>2024</v>
      </c>
      <c r="AF5" s="187">
        <v>2020</v>
      </c>
      <c r="AG5" s="187">
        <v>2021</v>
      </c>
      <c r="AH5" s="187">
        <v>2022</v>
      </c>
      <c r="AI5" s="187">
        <v>2023</v>
      </c>
      <c r="AJ5" s="187">
        <v>2024</v>
      </c>
      <c r="AK5" s="187"/>
      <c r="AM5" s="187">
        <v>2020</v>
      </c>
      <c r="AN5" s="187">
        <v>2021</v>
      </c>
      <c r="AO5" s="187">
        <v>2022</v>
      </c>
      <c r="AP5" s="187">
        <v>2023</v>
      </c>
      <c r="AQ5" s="187">
        <v>2024</v>
      </c>
      <c r="AT5" s="267" t="s">
        <v>1347</v>
      </c>
      <c r="AV5" s="187">
        <v>2021</v>
      </c>
      <c r="AW5" s="187">
        <v>2022</v>
      </c>
      <c r="AX5" s="187">
        <v>2023</v>
      </c>
      <c r="AY5" s="187"/>
      <c r="BA5" s="187">
        <v>2021</v>
      </c>
      <c r="BB5" s="187">
        <v>2022</v>
      </c>
      <c r="BC5" s="187">
        <v>2023</v>
      </c>
      <c r="BD5" s="187"/>
      <c r="BF5" s="187">
        <v>2021</v>
      </c>
      <c r="BG5" s="187">
        <v>2022</v>
      </c>
      <c r="BH5" s="187">
        <v>2023</v>
      </c>
      <c r="BI5" s="187"/>
      <c r="BJ5" s="187"/>
      <c r="BK5" s="187">
        <v>2021</v>
      </c>
      <c r="BL5" s="187">
        <v>2022</v>
      </c>
      <c r="BM5" s="187">
        <v>2023</v>
      </c>
      <c r="BN5" s="187"/>
      <c r="BP5" s="187">
        <v>2021</v>
      </c>
      <c r="BQ5" s="187">
        <v>2022</v>
      </c>
      <c r="BR5" s="187">
        <v>2023</v>
      </c>
    </row>
    <row r="7" spans="2:70" x14ac:dyDescent="0.45">
      <c r="B7" s="268"/>
      <c r="D7" s="264" t="s">
        <v>1348</v>
      </c>
    </row>
    <row r="8" spans="2:70" x14ac:dyDescent="0.45">
      <c r="B8" s="268"/>
      <c r="D8" t="s">
        <v>1349</v>
      </c>
      <c r="J8" s="269">
        <v>3.5948842032492268E-2</v>
      </c>
      <c r="K8" s="269">
        <v>-1.8351685018351716E-2</v>
      </c>
      <c r="L8" s="269"/>
      <c r="M8" s="269"/>
      <c r="N8" s="269"/>
      <c r="O8" s="269">
        <v>7.5360499793606373E-2</v>
      </c>
      <c r="P8" s="269">
        <v>0.10136249107354178</v>
      </c>
      <c r="Q8" s="269"/>
      <c r="R8" s="269"/>
      <c r="S8" s="269">
        <v>1</v>
      </c>
      <c r="T8" s="269">
        <v>0.99</v>
      </c>
      <c r="U8" s="269"/>
      <c r="V8" s="269"/>
      <c r="W8" s="269">
        <v>0.11401846452866859</v>
      </c>
      <c r="X8" s="269">
        <v>8.1150633546332784E-2</v>
      </c>
      <c r="AA8" s="270">
        <v>9.4E-2</v>
      </c>
      <c r="AB8" s="270">
        <v>6.2E-2</v>
      </c>
      <c r="AF8" s="269">
        <v>0.31720571248556129</v>
      </c>
      <c r="AG8" s="269">
        <v>0.29358895635759902</v>
      </c>
      <c r="AH8" s="269">
        <v>0.31623398727940516</v>
      </c>
      <c r="AI8" s="269">
        <v>0.26975313031280501</v>
      </c>
      <c r="AJ8" s="269">
        <v>0.24293313549216494</v>
      </c>
      <c r="AK8" s="269"/>
      <c r="AL8" s="269"/>
      <c r="AM8" s="269">
        <v>0.7127940249921243</v>
      </c>
      <c r="AN8" s="269">
        <v>0.71041823019717543</v>
      </c>
      <c r="AO8" s="269">
        <v>0.75529158828271969</v>
      </c>
      <c r="AP8" s="269">
        <v>0.6434126065793131</v>
      </c>
      <c r="AQ8" s="269">
        <v>0.57488878943432042</v>
      </c>
      <c r="AT8" s="258">
        <v>9.17</v>
      </c>
      <c r="AV8" s="271">
        <v>52.046803575083572</v>
      </c>
      <c r="AW8" s="271">
        <v>48.966173967571443</v>
      </c>
      <c r="AX8" s="271">
        <v>42.933161276559986</v>
      </c>
      <c r="AY8" s="271"/>
      <c r="BA8" s="271">
        <v>9.1214237092349268</v>
      </c>
      <c r="BB8" s="271">
        <v>3.1242497856530438</v>
      </c>
      <c r="BC8" s="271">
        <v>2.383257863669443</v>
      </c>
      <c r="BD8" s="271"/>
      <c r="BF8" s="272">
        <v>4.4165472697914536E-2</v>
      </c>
      <c r="BG8" s="272">
        <v>0.10044969990146019</v>
      </c>
      <c r="BH8" s="272">
        <v>7.9940141049923405E-2</v>
      </c>
      <c r="BI8" s="272"/>
      <c r="BJ8" s="272"/>
      <c r="BK8" s="272">
        <v>9.5221850765277116E-2</v>
      </c>
      <c r="BL8" s="272">
        <v>6.5054196900474787E-2</v>
      </c>
      <c r="BM8" s="272">
        <v>5.6820752826493078E-2</v>
      </c>
      <c r="BN8" s="272"/>
      <c r="BP8" s="272">
        <v>5.8001864865479522E-2</v>
      </c>
      <c r="BQ8" s="272">
        <v>6.3721221893756161E-2</v>
      </c>
      <c r="BR8" s="272">
        <v>0.10421016567871387</v>
      </c>
    </row>
    <row r="9" spans="2:70" x14ac:dyDescent="0.45">
      <c r="B9" s="268"/>
      <c r="J9" s="273"/>
      <c r="K9" s="273"/>
      <c r="L9" s="269"/>
      <c r="M9" s="269"/>
      <c r="N9" s="269"/>
      <c r="O9" s="269"/>
      <c r="P9" s="269"/>
      <c r="Q9" s="269"/>
      <c r="R9" s="269"/>
      <c r="S9" s="269"/>
      <c r="T9" s="269"/>
      <c r="U9" s="269"/>
      <c r="V9" s="269"/>
      <c r="W9" s="269"/>
      <c r="X9" s="269"/>
      <c r="AF9" s="269"/>
      <c r="AG9" s="269"/>
      <c r="AH9" s="269"/>
      <c r="AI9" s="269"/>
      <c r="AJ9" s="269"/>
      <c r="AK9" s="269"/>
      <c r="AL9" s="269"/>
      <c r="AM9" s="269"/>
      <c r="AN9" s="269"/>
      <c r="AO9" s="269"/>
      <c r="AP9" s="269"/>
      <c r="AQ9" s="269"/>
      <c r="AV9" s="271"/>
      <c r="AW9" s="271"/>
      <c r="AX9" s="271"/>
      <c r="AY9" s="271"/>
      <c r="BA9" s="271"/>
      <c r="BB9" s="271"/>
      <c r="BC9" s="271"/>
      <c r="BD9" s="271"/>
      <c r="BF9" s="272"/>
      <c r="BG9" s="272"/>
      <c r="BH9" s="272"/>
      <c r="BI9" s="272"/>
      <c r="BJ9" s="272"/>
      <c r="BK9" s="272"/>
      <c r="BL9" s="272"/>
      <c r="BM9" s="272"/>
      <c r="BN9" s="272"/>
      <c r="BP9" s="272"/>
      <c r="BQ9" s="272"/>
      <c r="BR9" s="272"/>
    </row>
    <row r="10" spans="2:70" x14ac:dyDescent="0.45">
      <c r="B10" s="268"/>
      <c r="D10" t="s">
        <v>1350</v>
      </c>
      <c r="J10" s="269">
        <v>0</v>
      </c>
      <c r="K10" s="269">
        <v>0</v>
      </c>
      <c r="L10" s="269"/>
      <c r="M10" s="269"/>
      <c r="N10" s="269"/>
      <c r="O10" s="269">
        <v>0.26071428571428568</v>
      </c>
      <c r="P10" s="269">
        <v>0.25779036827195467</v>
      </c>
      <c r="Q10" s="269"/>
      <c r="R10" s="269"/>
      <c r="S10" s="269"/>
      <c r="T10" s="269"/>
      <c r="U10" s="269"/>
      <c r="V10" s="269"/>
      <c r="W10" s="269">
        <v>0</v>
      </c>
      <c r="X10" s="269">
        <v>0</v>
      </c>
      <c r="AF10" s="269">
        <v>0.17682150243847822</v>
      </c>
      <c r="AG10" s="269">
        <v>0.17754001859555024</v>
      </c>
      <c r="AH10" s="269">
        <v>0.26517857142857143</v>
      </c>
      <c r="AI10" s="269">
        <v>0.22832861189801701</v>
      </c>
      <c r="AJ10" s="269">
        <v>0.15213963963963964</v>
      </c>
      <c r="AK10" s="269"/>
      <c r="AL10" s="269"/>
      <c r="AM10" s="269">
        <v>0.27428689830417641</v>
      </c>
      <c r="AN10" s="269">
        <v>0.26378317102702253</v>
      </c>
      <c r="AO10" s="269">
        <v>0.30910714285714286</v>
      </c>
      <c r="AP10" s="269">
        <v>0.22974504249291786</v>
      </c>
      <c r="AQ10" s="269">
        <v>0.20844594594594595</v>
      </c>
      <c r="AT10" s="258">
        <v>88.15</v>
      </c>
      <c r="AV10" s="271">
        <v>7.5447428323867882</v>
      </c>
      <c r="AW10" s="271">
        <v>10.758929017857144</v>
      </c>
      <c r="AX10" s="271">
        <v>10.262393767705383</v>
      </c>
      <c r="AY10" s="271"/>
      <c r="BA10" s="271">
        <v>38.777284306842034</v>
      </c>
      <c r="BB10" s="271">
        <v>41.553698172874206</v>
      </c>
      <c r="BC10" s="271">
        <v>37.478138222849083</v>
      </c>
      <c r="BD10" s="271"/>
      <c r="BF10" s="272"/>
      <c r="BG10" s="272"/>
      <c r="BH10" s="272"/>
      <c r="BI10" s="272"/>
      <c r="BJ10" s="272"/>
      <c r="BK10" s="272"/>
      <c r="BL10" s="272"/>
      <c r="BM10" s="272"/>
      <c r="BN10" s="272"/>
      <c r="BP10" s="272" t="s">
        <v>110</v>
      </c>
      <c r="BQ10" s="272"/>
      <c r="BR10" s="272"/>
    </row>
    <row r="11" spans="2:70" x14ac:dyDescent="0.45">
      <c r="B11" s="274" t="s">
        <v>1351</v>
      </c>
      <c r="J11" s="269"/>
      <c r="K11" s="269"/>
      <c r="L11" s="269"/>
      <c r="M11" s="269"/>
      <c r="N11" s="269"/>
      <c r="O11" s="269"/>
      <c r="P11" s="269"/>
      <c r="Q11" s="269"/>
      <c r="R11" s="269"/>
      <c r="S11" s="269"/>
      <c r="T11" s="269"/>
      <c r="U11" s="269"/>
      <c r="V11" s="269"/>
      <c r="W11" s="269"/>
      <c r="X11" s="269"/>
      <c r="AF11" s="269"/>
      <c r="AG11" s="269"/>
      <c r="AH11" s="269"/>
      <c r="AI11" s="269"/>
      <c r="AJ11" s="269"/>
      <c r="AK11" s="269"/>
      <c r="AL11" s="269"/>
      <c r="AM11" s="269"/>
      <c r="AN11" s="269"/>
      <c r="AO11" s="269"/>
      <c r="AP11" s="269"/>
      <c r="AQ11" s="269"/>
      <c r="AV11" s="271"/>
      <c r="AW11" s="271"/>
      <c r="AX11" s="271"/>
      <c r="AY11" s="271"/>
      <c r="BA11" s="271"/>
      <c r="BB11" s="271"/>
      <c r="BC11" s="271"/>
      <c r="BD11" s="271"/>
      <c r="BF11" s="272">
        <v>1.0824058687001502E-2</v>
      </c>
      <c r="BG11" s="272">
        <v>8.5714285714285719E-3</v>
      </c>
      <c r="BH11" s="272">
        <v>7.7903682719546738E-3</v>
      </c>
      <c r="BI11" s="272"/>
      <c r="BJ11" s="272"/>
      <c r="BK11" s="272">
        <v>2.994130779451917E-2</v>
      </c>
      <c r="BL11" s="272">
        <v>2.0535714285714286E-2</v>
      </c>
      <c r="BM11" s="272">
        <v>1.8130311614730877E-2</v>
      </c>
      <c r="BN11" s="272"/>
      <c r="BP11" s="272">
        <v>4.7007538830353766E-2</v>
      </c>
      <c r="BQ11" s="272">
        <v>5.2857142857142859E-2</v>
      </c>
      <c r="BR11" s="272">
        <v>4.2776203966005663E-2</v>
      </c>
    </row>
    <row r="12" spans="2:70" x14ac:dyDescent="0.45">
      <c r="B12" s="274"/>
      <c r="J12" s="269"/>
      <c r="K12" s="269"/>
      <c r="L12" s="269"/>
      <c r="M12" s="269"/>
      <c r="N12" s="269"/>
      <c r="O12" s="269"/>
      <c r="P12" s="269"/>
      <c r="Q12" s="269"/>
      <c r="R12" s="269"/>
      <c r="S12" s="269"/>
      <c r="T12" s="269"/>
      <c r="U12" s="269"/>
      <c r="V12" s="269"/>
      <c r="W12" s="269"/>
      <c r="X12" s="269"/>
      <c r="AF12" s="269"/>
      <c r="AG12" s="269"/>
      <c r="AH12" s="269"/>
      <c r="AI12" s="269"/>
      <c r="AJ12" s="269"/>
      <c r="AK12" s="269"/>
      <c r="AL12" s="269"/>
      <c r="AM12" s="269"/>
      <c r="AN12" s="269"/>
      <c r="AO12" s="269"/>
      <c r="AP12" s="269"/>
      <c r="AQ12" s="269"/>
      <c r="AV12" s="271"/>
      <c r="AW12" s="271"/>
      <c r="AX12" s="271"/>
      <c r="AY12" s="271"/>
      <c r="BA12" s="271"/>
      <c r="BB12" s="271"/>
      <c r="BC12" s="271"/>
      <c r="BD12" s="271"/>
      <c r="BF12" s="272"/>
      <c r="BG12" s="272"/>
      <c r="BH12" s="272"/>
      <c r="BI12" s="272"/>
      <c r="BJ12" s="272"/>
      <c r="BK12" s="272"/>
      <c r="BL12" s="272"/>
      <c r="BM12" s="272"/>
      <c r="BN12" s="272"/>
      <c r="BP12" s="272"/>
      <c r="BQ12" s="272"/>
      <c r="BR12" s="272"/>
    </row>
    <row r="13" spans="2:70" x14ac:dyDescent="0.45">
      <c r="B13" s="268"/>
      <c r="D13" s="264" t="s">
        <v>1352</v>
      </c>
      <c r="J13" s="269"/>
      <c r="K13" s="269"/>
      <c r="L13" s="269"/>
      <c r="M13" s="269"/>
      <c r="N13" s="269"/>
      <c r="O13" s="269"/>
      <c r="P13" s="269"/>
      <c r="Q13" s="269"/>
      <c r="R13" s="269"/>
      <c r="S13" s="269"/>
      <c r="T13" s="269"/>
      <c r="U13" s="269"/>
      <c r="V13" s="269"/>
      <c r="W13" s="269"/>
      <c r="X13" s="269"/>
      <c r="AF13" s="269"/>
      <c r="AG13" s="269"/>
      <c r="AH13" s="269"/>
      <c r="AI13" s="269"/>
      <c r="AJ13" s="269"/>
      <c r="AK13" s="269"/>
      <c r="AL13" s="269"/>
      <c r="AM13" s="269"/>
      <c r="AN13" s="269"/>
      <c r="AO13" s="269"/>
      <c r="AP13" s="269"/>
      <c r="AQ13" s="269"/>
      <c r="AV13" s="271"/>
      <c r="AW13" s="271"/>
      <c r="AX13" s="271"/>
      <c r="AY13" s="271"/>
      <c r="BA13" s="271"/>
      <c r="BB13" s="271"/>
      <c r="BC13" s="271"/>
      <c r="BD13" s="271"/>
      <c r="BF13" s="272"/>
      <c r="BG13" s="272"/>
      <c r="BH13" s="272"/>
      <c r="BI13" s="272"/>
      <c r="BJ13" s="272"/>
      <c r="BK13" s="272"/>
      <c r="BL13" s="272"/>
      <c r="BM13" s="272"/>
      <c r="BN13" s="272"/>
      <c r="BP13" s="272"/>
      <c r="BQ13" s="272"/>
      <c r="BR13" s="272"/>
    </row>
    <row r="14" spans="2:70" x14ac:dyDescent="0.45">
      <c r="B14" s="268"/>
      <c r="D14" t="s">
        <v>1353</v>
      </c>
      <c r="J14" s="269">
        <v>8.2304526748971263E-2</v>
      </c>
      <c r="K14" s="269">
        <v>7.2243346007604625E-2</v>
      </c>
      <c r="L14" s="269"/>
      <c r="M14" s="269"/>
      <c r="N14" s="269"/>
      <c r="O14" s="269">
        <v>3.9808718613264293E-2</v>
      </c>
      <c r="P14" s="269">
        <v>5.1457672029578072E-2</v>
      </c>
      <c r="Q14" s="269"/>
      <c r="R14" s="269"/>
      <c r="S14" s="269"/>
      <c r="T14" s="269"/>
      <c r="U14" s="269"/>
      <c r="V14" s="269"/>
      <c r="W14" s="269">
        <v>0.11</v>
      </c>
      <c r="X14" s="269">
        <v>0.1</v>
      </c>
      <c r="AA14" s="275">
        <v>0.18</v>
      </c>
      <c r="AB14" s="275">
        <v>0.21</v>
      </c>
      <c r="AF14" s="269">
        <v>0.32536442200927096</v>
      </c>
      <c r="AG14" s="269">
        <v>0.33468645468815594</v>
      </c>
      <c r="AH14" s="269">
        <v>0.34796629736550438</v>
      </c>
      <c r="AI14" s="269">
        <v>0.30819221792125712</v>
      </c>
      <c r="AJ14" s="269">
        <v>0.2813057677562264</v>
      </c>
      <c r="AK14" s="269"/>
      <c r="AL14" s="269"/>
      <c r="AM14" s="269">
        <v>0.55886168471718378</v>
      </c>
      <c r="AN14" s="269">
        <v>0.53689697296198891</v>
      </c>
      <c r="AO14" s="269">
        <v>0.47845158705336877</v>
      </c>
      <c r="AP14" s="269">
        <v>0.35834189791024323</v>
      </c>
      <c r="AQ14" s="269">
        <v>0.34112004089398801</v>
      </c>
      <c r="AT14" s="276">
        <v>12.2</v>
      </c>
      <c r="AV14" s="271">
        <v>27.405250000590712</v>
      </c>
      <c r="AW14" s="271">
        <v>43.418230683752427</v>
      </c>
      <c r="AX14" s="271">
        <v>46.394393163706688</v>
      </c>
      <c r="AY14" s="271"/>
      <c r="BA14" s="271">
        <v>169.10924333628748</v>
      </c>
      <c r="BB14" s="271">
        <v>224.7353803586665</v>
      </c>
      <c r="BC14" s="271">
        <v>259.22486186120562</v>
      </c>
      <c r="BD14" s="271"/>
      <c r="BF14" s="272">
        <v>3.9316917876245319E-2</v>
      </c>
      <c r="BG14" s="272">
        <v>3.4590456204879272E-2</v>
      </c>
      <c r="BH14" s="272">
        <v>3.521882093790922E-2</v>
      </c>
      <c r="BI14" s="272"/>
      <c r="BJ14" s="272"/>
      <c r="BK14" s="272">
        <v>0.10875771960458612</v>
      </c>
      <c r="BL14" s="272">
        <v>8.2872967990856583E-2</v>
      </c>
      <c r="BM14" s="272">
        <v>8.1963801455497823E-2</v>
      </c>
      <c r="BN14" s="272"/>
      <c r="BP14" s="272">
        <v>0.17074847773847582</v>
      </c>
      <c r="BQ14" s="272">
        <v>0.21330781326342219</v>
      </c>
      <c r="BR14" s="272">
        <v>0.19338334405906515</v>
      </c>
    </row>
    <row r="15" spans="2:70" x14ac:dyDescent="0.45">
      <c r="B15" s="268"/>
      <c r="J15" s="269"/>
      <c r="K15" s="269"/>
      <c r="L15" s="269"/>
      <c r="M15" s="269"/>
      <c r="N15" s="269"/>
      <c r="O15" s="269"/>
      <c r="P15" s="269"/>
      <c r="Q15" s="269"/>
      <c r="R15" s="269"/>
      <c r="S15" s="269"/>
      <c r="T15" s="269"/>
      <c r="U15" s="269"/>
      <c r="V15" s="269"/>
      <c r="W15" s="269"/>
      <c r="X15" s="269"/>
      <c r="AF15" s="269"/>
      <c r="AG15" s="269"/>
      <c r="AH15" s="269"/>
      <c r="AI15" s="269"/>
      <c r="AJ15" s="269"/>
      <c r="AK15" s="269"/>
      <c r="AL15" s="269"/>
      <c r="AM15" s="269"/>
      <c r="AN15" s="269"/>
      <c r="AO15" s="269"/>
      <c r="AP15" s="269"/>
      <c r="AQ15" s="269"/>
      <c r="AV15" s="271"/>
      <c r="AW15" s="271"/>
      <c r="AX15" s="271"/>
      <c r="AY15" s="271"/>
      <c r="BA15" s="271"/>
      <c r="BB15" s="271"/>
      <c r="BC15" s="271"/>
      <c r="BD15" s="271"/>
      <c r="BF15" s="272"/>
      <c r="BG15" s="272"/>
      <c r="BH15" s="272"/>
      <c r="BI15" s="272"/>
      <c r="BJ15" s="272"/>
      <c r="BK15" s="272"/>
      <c r="BL15" s="272"/>
      <c r="BM15" s="272"/>
      <c r="BN15" s="272"/>
      <c r="BP15" s="272"/>
      <c r="BQ15" s="272"/>
      <c r="BR15" s="272"/>
    </row>
    <row r="16" spans="2:70" x14ac:dyDescent="0.45">
      <c r="B16" s="268"/>
      <c r="D16" t="s">
        <v>1354</v>
      </c>
      <c r="J16" s="269">
        <v>6.1731348997464686E-3</v>
      </c>
      <c r="K16" s="269">
        <v>-2.4493484257585907E-2</v>
      </c>
      <c r="L16" s="269"/>
      <c r="M16" s="269"/>
      <c r="N16" s="269"/>
      <c r="O16" s="269">
        <v>3.3412359331251862E-2</v>
      </c>
      <c r="P16" s="269">
        <v>0.10200185546079799</v>
      </c>
      <c r="Q16" s="269"/>
      <c r="R16" s="269"/>
      <c r="S16" s="269">
        <v>1.0061731348997465</v>
      </c>
      <c r="T16" s="269">
        <v>0.9755065157424142</v>
      </c>
      <c r="U16" s="269"/>
      <c r="V16" s="269"/>
      <c r="W16" s="269">
        <v>3.9791753232468974E-2</v>
      </c>
      <c r="X16" s="269">
        <v>7.5009990362238543E-2</v>
      </c>
      <c r="AF16" s="269">
        <v>0.16896312599873367</v>
      </c>
      <c r="AG16" s="269">
        <v>0.18510365070629242</v>
      </c>
      <c r="AH16" s="269">
        <v>0.19407034438931392</v>
      </c>
      <c r="AI16" s="269">
        <v>0.1973625443689617</v>
      </c>
      <c r="AJ16" s="269">
        <v>0.1780809936149742</v>
      </c>
      <c r="AK16" s="269"/>
      <c r="AL16" s="269"/>
      <c r="AM16" s="269">
        <v>0.32839870956070794</v>
      </c>
      <c r="AN16" s="269">
        <v>0.28241213931912884</v>
      </c>
      <c r="AO16" s="269">
        <v>0.26118837533302375</v>
      </c>
      <c r="AP16" s="269">
        <v>0.23960414658799747</v>
      </c>
      <c r="AQ16" s="269">
        <v>0.22706201346978047</v>
      </c>
      <c r="AT16" s="258">
        <v>10.95</v>
      </c>
      <c r="AV16" s="271">
        <v>5.0411457923840972</v>
      </c>
      <c r="AW16" s="271">
        <v>5.517867181580427</v>
      </c>
      <c r="AX16" s="271">
        <v>5.8644014010013867</v>
      </c>
      <c r="AY16" s="271"/>
      <c r="BA16" s="271">
        <v>18.114341932662878</v>
      </c>
      <c r="BB16" s="271">
        <v>26.566689120916134</v>
      </c>
      <c r="BC16" s="271">
        <v>32.357333502796131</v>
      </c>
      <c r="BD16" s="271"/>
      <c r="BF16" s="272">
        <v>2.0861178813848049E-2</v>
      </c>
      <c r="BG16" s="272">
        <v>1.3027644025126487E-2</v>
      </c>
      <c r="BH16" s="272">
        <v>7.4751416280764435E-3</v>
      </c>
      <c r="BI16" s="272"/>
      <c r="BJ16" s="272"/>
      <c r="BK16" s="272">
        <v>4.4631391356762848E-2</v>
      </c>
      <c r="BL16" s="272">
        <v>4.013394275658104E-2</v>
      </c>
      <c r="BM16" s="272">
        <v>4.9176088949484026E-2</v>
      </c>
      <c r="BN16" s="272"/>
      <c r="BP16" s="272">
        <v>0.49534816678460047</v>
      </c>
      <c r="BQ16" s="272">
        <v>0.47759880722508741</v>
      </c>
      <c r="BR16" s="272">
        <v>0.48774123786464824</v>
      </c>
    </row>
    <row r="17" spans="2:71" x14ac:dyDescent="0.45">
      <c r="J17" s="269"/>
      <c r="K17" s="269"/>
      <c r="L17" s="269"/>
      <c r="M17" s="269"/>
      <c r="N17" s="269"/>
      <c r="O17" s="269"/>
      <c r="P17" s="269"/>
      <c r="Q17" s="269"/>
      <c r="R17" s="269"/>
      <c r="S17" s="269"/>
      <c r="T17" s="269"/>
      <c r="U17" s="269"/>
      <c r="V17" s="269"/>
      <c r="W17" s="269"/>
      <c r="X17" s="269"/>
      <c r="AV17" s="271"/>
      <c r="AW17" s="271"/>
      <c r="AX17" s="271"/>
      <c r="AY17" s="271"/>
      <c r="BF17" s="272"/>
      <c r="BG17" s="272"/>
      <c r="BH17" s="272"/>
      <c r="BI17" s="272"/>
      <c r="BJ17" s="272"/>
      <c r="BK17" s="272"/>
      <c r="BL17" s="272"/>
      <c r="BM17" s="272"/>
      <c r="BN17" s="272"/>
    </row>
    <row r="18" spans="2:71" x14ac:dyDescent="0.45">
      <c r="J18" s="269"/>
      <c r="K18" s="269"/>
      <c r="L18" s="269"/>
      <c r="M18" s="269"/>
      <c r="N18" s="269"/>
      <c r="O18" s="269"/>
      <c r="P18" s="269"/>
      <c r="Q18" s="269"/>
      <c r="R18" s="269"/>
      <c r="S18" s="269"/>
      <c r="T18" s="269"/>
      <c r="U18" s="269"/>
      <c r="V18" s="269"/>
      <c r="W18" s="269"/>
      <c r="X18" s="269"/>
      <c r="AV18" s="271"/>
      <c r="AW18" s="271"/>
      <c r="AX18" s="271"/>
      <c r="AY18" s="271"/>
      <c r="BF18" s="272"/>
      <c r="BG18" s="272"/>
      <c r="BH18" s="272"/>
      <c r="BI18" s="272"/>
      <c r="BJ18" s="272"/>
      <c r="BK18" s="272"/>
      <c r="BL18" s="272"/>
      <c r="BM18" s="272"/>
      <c r="BN18" s="272"/>
    </row>
    <row r="19" spans="2:71" x14ac:dyDescent="0.45">
      <c r="B19" s="222" t="s">
        <v>1355</v>
      </c>
      <c r="J19" s="277">
        <f>AVERAGEIF(J8:J16, "&lt;&gt;0")</f>
        <v>4.147550122707E-2</v>
      </c>
      <c r="K19" s="277">
        <f>AVERAGEIF(K8:K16, "&lt;&gt;0")</f>
        <v>9.7993922438890015E-3</v>
      </c>
      <c r="L19" s="269"/>
      <c r="M19" s="269"/>
      <c r="N19" s="269"/>
      <c r="O19" s="277">
        <f>AVERAGEIF(O8:O16, "&lt;&gt;0")</f>
        <v>0.10232396586310205</v>
      </c>
      <c r="P19" s="277">
        <f>AVERAGEIF(P8:P16, "&lt;&gt;0")</f>
        <v>0.12815309670896813</v>
      </c>
      <c r="Q19" s="269">
        <f>AVERAGE(O19:P19)</f>
        <v>0.11523853128603509</v>
      </c>
      <c r="R19" s="269"/>
      <c r="S19" s="277">
        <f>AVERAGEIF(S8:S16, "&lt;&gt;0")</f>
        <v>1.0030865674498732</v>
      </c>
      <c r="T19" s="277">
        <f>AVERAGEIF(T8:T16, "&lt;&gt;0")</f>
        <v>0.98275325787120704</v>
      </c>
      <c r="U19" s="269"/>
      <c r="V19" s="269"/>
      <c r="W19" s="277">
        <f>AVERAGEIF(W8:W16, "&lt;&gt;0")</f>
        <v>8.7936739253712523E-2</v>
      </c>
      <c r="X19" s="277">
        <f>AVERAGEIF(X8:X16, "&lt;&gt;0")</f>
        <v>8.5386874636190435E-2</v>
      </c>
      <c r="AA19" s="277">
        <f>AVERAGEIF(AA8:AA16, "&lt;&gt;0")</f>
        <v>0.13700000000000001</v>
      </c>
      <c r="AB19" s="277">
        <f>AVERAGEIF(AB8:AB16, "&lt;&gt;0")</f>
        <v>0.13600000000000001</v>
      </c>
      <c r="AC19" s="278">
        <f>AVERAGE(AA19:AB19)</f>
        <v>0.13650000000000001</v>
      </c>
      <c r="AF19" s="277">
        <f>AVERAGEIF(AF8:AF16, "&lt;&gt;0")</f>
        <v>0.24708869073301104</v>
      </c>
      <c r="AG19" s="277">
        <f>AVERAGEIF(AG8:AG16, "&lt;&gt;0")</f>
        <v>0.24772977008689939</v>
      </c>
      <c r="AH19" s="277">
        <f>AVERAGEIF(AH8:AH16, "&lt;&gt;0")</f>
        <v>0.28086230011569874</v>
      </c>
      <c r="AI19" s="277">
        <f>AVERAGEIF(AI8:AI16, "&lt;&gt;0")</f>
        <v>0.25090912612526023</v>
      </c>
      <c r="AJ19" s="277">
        <f>AVERAGEIF(AJ8:AJ16, "&lt;&gt;0")</f>
        <v>0.2136148841257513</v>
      </c>
      <c r="AK19" s="278">
        <f>AVERAGE(AF19:AJ19)</f>
        <v>0.24804095423732414</v>
      </c>
      <c r="AM19" s="277">
        <f>AVERAGEIF(AM8:AM16, "&lt;&gt;0")</f>
        <v>0.46858532939354813</v>
      </c>
      <c r="AN19" s="277">
        <f>AVERAGEIF(AN8:AN16, "&lt;&gt;0")</f>
        <v>0.44837762837632894</v>
      </c>
      <c r="AO19" s="277">
        <f>AVERAGEIF(AO8:AO16, "&lt;&gt;0")</f>
        <v>0.45100967338156378</v>
      </c>
      <c r="AP19" s="277">
        <f>AVERAGEIF(AP8:AP16, "&lt;&gt;0")</f>
        <v>0.36777592339261789</v>
      </c>
      <c r="AQ19" s="277">
        <f>AVERAGEIF(AQ8:AQ16, "&lt;&gt;0")</f>
        <v>0.33787919743600875</v>
      </c>
      <c r="AR19" s="278">
        <f>AVERAGE(AM19:AQ19)</f>
        <v>0.41472555039601355</v>
      </c>
      <c r="AT19" s="258">
        <f>AVERAGEIF(AT8:AT16,"&lt;&gt;0")</f>
        <v>30.117500000000003</v>
      </c>
      <c r="AV19" s="279">
        <f>AVERAGEIF(AV8:AV16,"&lt;&gt;0")</f>
        <v>23.009485550111293</v>
      </c>
      <c r="AW19" s="279">
        <f>AVERAGEIF(AW8:AW16,"&lt;&gt;0")</f>
        <v>27.165300212690358</v>
      </c>
      <c r="AX19" s="279">
        <f>AVERAGEIF(AX8:AX16,"&lt;&gt;0")</f>
        <v>26.363587402243361</v>
      </c>
      <c r="AY19" s="280">
        <f>AVERAGE(AV19:AX19)</f>
        <v>25.512791055015004</v>
      </c>
      <c r="BA19" s="279">
        <f>AVERAGEIF(BA8:BA16,"&lt;&gt;0")</f>
        <v>58.780573321256831</v>
      </c>
      <c r="BB19" s="279">
        <f>AVERAGEIF(BB8:BB16,"&lt;&gt;0")</f>
        <v>73.995004359527471</v>
      </c>
      <c r="BC19" s="279">
        <f>AVERAGEIF(BC8:BC16,"&lt;&gt;0")</f>
        <v>82.860897862630068</v>
      </c>
      <c r="BD19" s="280">
        <f>AVERAGE(BA19:BC19)</f>
        <v>71.878825181138112</v>
      </c>
      <c r="BF19" s="272">
        <f>AVERAGEIF(BF8:BF16,"&lt;&gt;0")</f>
        <v>2.8791907018752352E-2</v>
      </c>
      <c r="BG19" s="272">
        <f>AVERAGEIF(BG8:BG16,"&lt;&gt;0")</f>
        <v>3.9159807175723628E-2</v>
      </c>
      <c r="BH19" s="272">
        <f>AVERAGEIF(BH8:BH16,"&lt;&gt;0")</f>
        <v>3.2606117971965935E-2</v>
      </c>
      <c r="BI19" s="281">
        <f>AVERAGE(BF19:BH19)</f>
        <v>3.3519277388813974E-2</v>
      </c>
      <c r="BK19" s="272">
        <f>AVERAGEIF(BK8:BK16,"&lt;&gt;0")</f>
        <v>6.9638067380286314E-2</v>
      </c>
      <c r="BL19" s="272">
        <f>AVERAGEIF(BL8:BL16,"&lt;&gt;0")</f>
        <v>5.214920548340668E-2</v>
      </c>
      <c r="BM19" s="272">
        <f>AVERAGEIF(BM8:BM16,"&lt;&gt;0")</f>
        <v>5.1522738711551448E-2</v>
      </c>
      <c r="BN19" s="281">
        <f>AVERAGE(BK19:BM19)</f>
        <v>5.7770003858414819E-2</v>
      </c>
      <c r="BP19" s="272">
        <f>AVERAGEIF(BP8:BP16,"&lt;&gt;0")</f>
        <v>0.1927765120547274</v>
      </c>
      <c r="BQ19" s="272">
        <f>AVERAGEIF(BQ8:BQ16,"&lt;&gt;0")</f>
        <v>0.20187124630985215</v>
      </c>
      <c r="BR19" s="272">
        <f>AVERAGEIF(BR8:BR16,"&lt;&gt;0")</f>
        <v>0.20702773789210821</v>
      </c>
      <c r="BS19" s="281">
        <f>AVERAGE(BP19:BR19)</f>
        <v>0.20055849875222923</v>
      </c>
    </row>
    <row r="20" spans="2:71" x14ac:dyDescent="0.45">
      <c r="B20" s="222" t="s">
        <v>515</v>
      </c>
      <c r="J20" s="277" cm="1">
        <f t="array" ref="J20">MEDIAN(_xlfn._xlws.FILTER(J8:J16,J8:J16&lt;&gt;0))</f>
        <v>3.5948842032492268E-2</v>
      </c>
      <c r="K20" s="277" cm="1">
        <f t="array" ref="K20">MEDIAN(_xlfn._xlws.FILTER(K8:K16,K8:K16&lt;&gt;0))</f>
        <v>-1.8351685018351716E-2</v>
      </c>
      <c r="L20" s="269"/>
      <c r="M20" s="269"/>
      <c r="N20" s="269"/>
      <c r="O20" s="277" cm="1">
        <f t="array" ref="O20">MEDIAN(_xlfn._xlws.FILTER(O8:O16,O8:O16&lt;&gt;0))</f>
        <v>5.7584609203435333E-2</v>
      </c>
      <c r="P20" s="277" cm="1">
        <f t="array" ref="P20">MEDIAN(_xlfn._xlws.FILTER(P8:P16,P8:P16&lt;&gt;0))</f>
        <v>0.10168217326716988</v>
      </c>
      <c r="Q20" s="269">
        <f>AVERAGE(O20:P20)</f>
        <v>7.9633391235302609E-2</v>
      </c>
      <c r="R20" s="269"/>
      <c r="S20" s="277" cm="1">
        <f t="array" ref="S20">MEDIAN(_xlfn._xlws.FILTER(S8:S16,S8:S16&lt;&gt;0))</f>
        <v>1.0030865674498732</v>
      </c>
      <c r="T20" s="277" cm="1">
        <f t="array" ref="T20">MEDIAN(_xlfn._xlws.FILTER(T8:T16,T8:T16&lt;&gt;0))</f>
        <v>0.98275325787120704</v>
      </c>
      <c r="U20" s="282">
        <f>AVERAGE(S20:T20)</f>
        <v>0.99291991266054014</v>
      </c>
      <c r="V20" s="269"/>
      <c r="W20" s="277" cm="1">
        <f t="array" ref="W20">MEDIAN(_xlfn._xlws.FILTER(W8:W16,W8:W16&lt;&gt;0))</f>
        <v>0.11</v>
      </c>
      <c r="X20" s="277" cm="1">
        <f t="array" ref="X20">MEDIAN(_xlfn._xlws.FILTER(X8:X16,X8:X16&lt;&gt;0))</f>
        <v>8.1150633546332784E-2</v>
      </c>
      <c r="AA20" s="277" cm="1">
        <f t="array" ref="AA20">MEDIAN(_xlfn._xlws.FILTER(AA8:AA16,AA8:AA16&lt;&gt;0))</f>
        <v>0.13700000000000001</v>
      </c>
      <c r="AB20" s="277" cm="1">
        <f t="array" ref="AB20">MEDIAN(_xlfn._xlws.FILTER(AB8:AB16,AB8:AB16&lt;&gt;0))</f>
        <v>0.13600000000000001</v>
      </c>
      <c r="AC20" s="278">
        <f>AVERAGE(AA20:AB20)</f>
        <v>0.13650000000000001</v>
      </c>
      <c r="AF20" s="277" cm="1">
        <f t="array" ref="AF20">MEDIAN(_xlfn._xlws.FILTER(AF8:AF16,AF8:AF16&lt;&gt;0))</f>
        <v>0.24701360746201975</v>
      </c>
      <c r="AG20" s="277" cm="1">
        <f t="array" ref="AG20">MEDIAN(_xlfn._xlws.FILTER(AG8:AG16,AG8:AG16&lt;&gt;0))</f>
        <v>0.23934630353194572</v>
      </c>
      <c r="AH20" s="277" cm="1">
        <f t="array" ref="AH20">MEDIAN(_xlfn._xlws.FILTER(AH8:AH16,AH8:AH16&lt;&gt;0))</f>
        <v>0.2907062793539883</v>
      </c>
      <c r="AI20" s="277" cm="1">
        <f t="array" ref="AI20">MEDIAN(_xlfn._xlws.FILTER(AI8:AI16,AI8:AI16&lt;&gt;0))</f>
        <v>0.24904087110541101</v>
      </c>
      <c r="AJ20" s="277" cm="1">
        <f t="array" ref="AJ20">MEDIAN(_xlfn._xlws.FILTER(AJ8:AJ16,AJ8:AJ16&lt;&gt;0))</f>
        <v>0.21050706455356957</v>
      </c>
      <c r="AK20" s="278">
        <f>AVERAGE(AF20:AJ20)</f>
        <v>0.24732282520138688</v>
      </c>
      <c r="AM20" s="277" cm="1">
        <f t="array" ref="AM20">MEDIAN(_xlfn._xlws.FILTER(AM8:AM16,AM8:AM16&lt;&gt;0))</f>
        <v>0.44363019713894586</v>
      </c>
      <c r="AN20" s="277" cm="1">
        <f t="array" ref="AN20">MEDIAN(_xlfn._xlws.FILTER(AN8:AN16,AN8:AN16&lt;&gt;0))</f>
        <v>0.4096545561405589</v>
      </c>
      <c r="AO20" s="277" cm="1">
        <f t="array" ref="AO20">MEDIAN(_xlfn._xlws.FILTER(AO8:AO16,AO8:AO16&lt;&gt;0))</f>
        <v>0.39377936495525578</v>
      </c>
      <c r="AP20" s="277" cm="1">
        <f t="array" ref="AP20">MEDIAN(_xlfn._xlws.FILTER(AP8:AP16,AP8:AP16&lt;&gt;0))</f>
        <v>0.29897302224912037</v>
      </c>
      <c r="AQ20" s="277" cm="1">
        <f t="array" ref="AQ20">MEDIAN(_xlfn._xlws.FILTER(AQ8:AQ16,AQ8:AQ16&lt;&gt;0))</f>
        <v>0.28409102718188423</v>
      </c>
      <c r="AR20" s="278">
        <f>AVERAGE(AM20:AQ20)</f>
        <v>0.36602563353315304</v>
      </c>
      <c r="AT20" s="258" cm="1">
        <f t="array" ref="AT20">MEDIAN(_xlfn._xlws.FILTER(AT8:AT16,AT8:AT16&lt;&gt;0))</f>
        <v>11.574999999999999</v>
      </c>
      <c r="AV20" s="279" cm="1">
        <f t="array" ref="AV20">MEDIAN(_xlfn._xlws.FILTER(AV8:AV16,AV8:AV16&lt;&gt;0))</f>
        <v>17.47499641648875</v>
      </c>
      <c r="AW20" s="279" cm="1">
        <f t="array" ref="AW20">MEDIAN(_xlfn._xlws.FILTER(AW8:AW16,AW8:AW16&lt;&gt;0))</f>
        <v>27.088579850804784</v>
      </c>
      <c r="AX20" s="279" cm="1">
        <f t="array" ref="AX20">MEDIAN(_xlfn._xlws.FILTER(AX8:AX16,AX8:AX16&lt;&gt;0))</f>
        <v>26.597777522132684</v>
      </c>
      <c r="AY20" s="280">
        <f>AVERAGE(AV20:AX20)</f>
        <v>23.720451263142071</v>
      </c>
      <c r="BA20" s="279" cm="1">
        <f t="array" ref="BA20">MEDIAN(_xlfn._xlws.FILTER(BA8:BA16,BA8:BA16&lt;&gt;0))</f>
        <v>28.445813119752458</v>
      </c>
      <c r="BB20" s="279" cm="1">
        <f t="array" ref="BB20">MEDIAN(_xlfn._xlws.FILTER(BB8:BB16,BB8:BB16&lt;&gt;0))</f>
        <v>34.060193646895172</v>
      </c>
      <c r="BC20" s="279" cm="1">
        <f t="array" ref="BC20">MEDIAN(_xlfn._xlws.FILTER(BC8:BC16,BC8:BC16&lt;&gt;0))</f>
        <v>34.91773586282261</v>
      </c>
      <c r="BD20" s="280">
        <f>AVERAGE(BA20:BC20)</f>
        <v>32.47458087649008</v>
      </c>
      <c r="BF20" s="272" cm="1">
        <f t="array" ref="BF20">MEDIAN(_xlfn._xlws.FILTER(BF8:BF16,BF8:BF16&lt;&gt;0))</f>
        <v>3.0089048345046686E-2</v>
      </c>
      <c r="BG20" s="272" cm="1">
        <f t="array" ref="BG20">MEDIAN(_xlfn._xlws.FILTER(BG8:BG16,BG8:BG16&lt;&gt;0))</f>
        <v>2.380905011500288E-2</v>
      </c>
      <c r="BH20" s="272" cm="1">
        <f t="array" ref="BH20">MEDIAN(_xlfn._xlws.FILTER(BH8:BH16,BH8:BH16&lt;&gt;0))</f>
        <v>2.1504594604931947E-2</v>
      </c>
      <c r="BI20" s="281">
        <f>AVERAGE(BF20:BH20)</f>
        <v>2.5134231021660503E-2</v>
      </c>
      <c r="BK20" s="272" cm="1">
        <f t="array" ref="BK20">MEDIAN(_xlfn._xlws.FILTER(BK8:BK16,BK8:BK16&lt;&gt;0))</f>
        <v>6.9926621061019989E-2</v>
      </c>
      <c r="BL20" s="272" cm="1">
        <f t="array" ref="BL20">MEDIAN(_xlfn._xlws.FILTER(BL8:BL16,BL8:BL16&lt;&gt;0))</f>
        <v>5.2594069828527913E-2</v>
      </c>
      <c r="BM20" s="272" cm="1">
        <f t="array" ref="BM20">MEDIAN(_xlfn._xlws.FILTER(BM8:BM16,BM8:BM16&lt;&gt;0))</f>
        <v>5.2998420887988548E-2</v>
      </c>
      <c r="BN20" s="281">
        <f>AVERAGE(BK20:BM20)</f>
        <v>5.8506370592512146E-2</v>
      </c>
      <c r="BP20" s="272" cm="1">
        <f t="array" ref="BP20">MEDIAN(_xlfn._xlws.FILTER(BP8:BP16,BP8:BP16&lt;&gt;0))</f>
        <v>0.11437517130197766</v>
      </c>
      <c r="BQ20" s="272" cm="1">
        <f t="array" ref="BQ20">MEDIAN(_xlfn._xlws.FILTER(BQ8:BQ16,BQ8:BQ16&lt;&gt;0))</f>
        <v>0.13851451757858918</v>
      </c>
      <c r="BR20" s="272" cm="1">
        <f t="array" ref="BR20">MEDIAN(_xlfn._xlws.FILTER(BR8:BR16,BR8:BR16&lt;&gt;0))</f>
        <v>0.14879675486888952</v>
      </c>
      <c r="BS20" s="281">
        <f>AVERAGE(BP20:BR20)</f>
        <v>0.13389548124981879</v>
      </c>
    </row>
    <row r="21" spans="2:71" x14ac:dyDescent="0.45">
      <c r="J21" s="269"/>
      <c r="K21" s="269"/>
      <c r="L21" s="269"/>
      <c r="M21" s="269"/>
      <c r="N21" s="269"/>
      <c r="O21" s="269"/>
      <c r="P21" s="269"/>
      <c r="Q21" s="269"/>
      <c r="R21" s="269"/>
      <c r="S21" s="269"/>
      <c r="T21" s="269"/>
      <c r="U21" s="269"/>
      <c r="V21" s="269"/>
      <c r="W21" s="269"/>
      <c r="X21" s="269"/>
    </row>
    <row r="22" spans="2:71" x14ac:dyDescent="0.45">
      <c r="B22" s="268"/>
      <c r="D22" s="264" t="s">
        <v>1348</v>
      </c>
      <c r="J22" s="269"/>
      <c r="K22" s="269"/>
      <c r="L22" s="269"/>
      <c r="M22" s="269"/>
      <c r="N22" s="269"/>
      <c r="O22" s="269"/>
      <c r="P22" s="269"/>
      <c r="Q22" s="269"/>
      <c r="R22" s="269"/>
      <c r="S22" s="269"/>
      <c r="T22" s="269"/>
      <c r="U22" s="269"/>
      <c r="V22" s="269"/>
      <c r="W22" s="269"/>
      <c r="X22" s="269"/>
    </row>
    <row r="23" spans="2:71" x14ac:dyDescent="0.45">
      <c r="B23" s="268"/>
      <c r="D23" t="s">
        <v>1356</v>
      </c>
      <c r="J23" s="269">
        <v>0</v>
      </c>
      <c r="K23" s="269">
        <v>0</v>
      </c>
      <c r="L23" s="269"/>
      <c r="M23" s="269"/>
      <c r="N23" s="269"/>
      <c r="O23" s="269">
        <v>0</v>
      </c>
      <c r="P23" s="269">
        <v>0</v>
      </c>
      <c r="Q23" s="269"/>
      <c r="R23" s="269"/>
      <c r="S23" s="269"/>
      <c r="T23" s="269"/>
      <c r="U23" s="269"/>
      <c r="V23" s="269"/>
      <c r="W23" s="269">
        <v>0.20260435535160815</v>
      </c>
      <c r="X23" s="269">
        <v>7.777736868353835E-2</v>
      </c>
      <c r="AF23" s="269">
        <v>0.27100000000000002</v>
      </c>
      <c r="AG23" s="269">
        <v>0.249</v>
      </c>
      <c r="AH23" s="269">
        <v>0.221</v>
      </c>
      <c r="AI23" s="269">
        <v>0.192</v>
      </c>
      <c r="AJ23" s="269">
        <v>0.14199999999999999</v>
      </c>
      <c r="AK23" s="269"/>
      <c r="AL23" s="269"/>
      <c r="AM23" s="269">
        <v>0.17699999999999999</v>
      </c>
      <c r="AN23" s="269">
        <v>0.23899999999999999</v>
      </c>
      <c r="AO23" s="269">
        <v>0.17399999999999999</v>
      </c>
      <c r="AP23" s="269">
        <v>0.14499999999999999</v>
      </c>
      <c r="AQ23" s="269">
        <v>0.114</v>
      </c>
      <c r="AT23" s="258">
        <f>866.98/53.69</f>
        <v>16.147886012292794</v>
      </c>
    </row>
    <row r="24" spans="2:71" x14ac:dyDescent="0.45">
      <c r="B24" s="268"/>
      <c r="J24" s="269"/>
      <c r="K24" s="269"/>
      <c r="L24" s="269"/>
      <c r="M24" s="269"/>
      <c r="N24" s="269"/>
      <c r="O24" s="269"/>
      <c r="P24" s="269"/>
      <c r="Q24" s="269"/>
      <c r="R24" s="269"/>
      <c r="S24" s="269"/>
      <c r="T24" s="269"/>
      <c r="U24" s="269"/>
      <c r="V24" s="269"/>
      <c r="W24" s="269"/>
      <c r="X24" s="269"/>
      <c r="AF24" s="269"/>
      <c r="AG24" s="269"/>
      <c r="AH24" s="269"/>
      <c r="AI24" s="269"/>
      <c r="AJ24" s="269"/>
      <c r="AK24" s="269"/>
      <c r="AL24" s="269"/>
      <c r="AM24" s="269"/>
      <c r="AN24" s="269"/>
      <c r="AO24" s="269"/>
      <c r="AP24" s="269"/>
      <c r="AQ24" s="269"/>
    </row>
    <row r="25" spans="2:71" x14ac:dyDescent="0.45">
      <c r="B25" s="268"/>
      <c r="D25" s="264" t="s">
        <v>1357</v>
      </c>
      <c r="J25" s="269"/>
      <c r="K25" s="269"/>
      <c r="L25" s="269"/>
      <c r="M25" s="269"/>
      <c r="N25" s="269"/>
      <c r="O25" s="269"/>
      <c r="P25" s="269"/>
      <c r="Q25" s="269"/>
      <c r="R25" s="269"/>
      <c r="S25" s="269"/>
      <c r="T25" s="269"/>
      <c r="U25" s="269"/>
      <c r="V25" s="269"/>
      <c r="W25" s="269"/>
      <c r="X25" s="269"/>
      <c r="AF25" s="269"/>
      <c r="AG25" s="269"/>
      <c r="AH25" s="269"/>
      <c r="AI25" s="269"/>
      <c r="AJ25" s="269"/>
      <c r="AK25" s="269"/>
      <c r="AL25" s="269"/>
      <c r="AM25" s="269"/>
      <c r="AN25" s="269"/>
      <c r="AO25" s="269"/>
      <c r="AP25" s="269"/>
      <c r="AQ25" s="269"/>
    </row>
    <row r="26" spans="2:71" x14ac:dyDescent="0.45">
      <c r="B26" s="268"/>
      <c r="D26" t="s">
        <v>1358</v>
      </c>
      <c r="J26" s="269">
        <v>0.22525778738962643</v>
      </c>
      <c r="K26" s="269">
        <v>0.2089218932083805</v>
      </c>
      <c r="L26" s="269"/>
      <c r="M26" s="269"/>
      <c r="N26" s="269"/>
      <c r="O26" s="269">
        <v>1.9797545462689303E-2</v>
      </c>
      <c r="P26" s="269">
        <v>-3.6015460295151236E-3</v>
      </c>
      <c r="Q26" s="269"/>
      <c r="R26" s="269"/>
      <c r="S26" s="269">
        <v>1.0389999999999999</v>
      </c>
      <c r="T26" s="269">
        <v>1.022</v>
      </c>
      <c r="U26" s="269"/>
      <c r="V26" s="269"/>
      <c r="W26" s="269">
        <v>0.24951488413898648</v>
      </c>
      <c r="X26" s="269">
        <v>0.20456790536390201</v>
      </c>
      <c r="AF26" s="269">
        <v>0</v>
      </c>
      <c r="AG26" s="269">
        <v>0.23</v>
      </c>
      <c r="AH26" s="269">
        <v>0.26</v>
      </c>
      <c r="AI26" s="269">
        <v>0.28000000000000003</v>
      </c>
      <c r="AJ26" s="269">
        <v>0.3</v>
      </c>
      <c r="AK26" s="269"/>
      <c r="AL26" s="269"/>
      <c r="AM26" s="269">
        <v>0</v>
      </c>
      <c r="AN26" s="269">
        <v>0.11</v>
      </c>
      <c r="AO26" s="269">
        <v>0.11</v>
      </c>
      <c r="AP26" s="269">
        <v>0.12</v>
      </c>
      <c r="AQ26" s="269">
        <v>0.11</v>
      </c>
      <c r="AT26" s="258">
        <v>22.82</v>
      </c>
    </row>
    <row r="27" spans="2:71" x14ac:dyDescent="0.45">
      <c r="B27" s="268"/>
      <c r="J27" s="269"/>
      <c r="K27" s="269"/>
      <c r="L27" s="269"/>
      <c r="M27" s="269"/>
      <c r="N27" s="269"/>
      <c r="O27" s="269"/>
      <c r="P27" s="269"/>
      <c r="Q27" s="269"/>
      <c r="R27" s="269"/>
      <c r="S27" s="269"/>
      <c r="T27" s="269"/>
      <c r="U27" s="269"/>
      <c r="V27" s="269"/>
      <c r="W27" s="269"/>
      <c r="X27" s="269"/>
      <c r="AF27" s="269"/>
      <c r="AG27" s="269"/>
      <c r="AH27" s="269"/>
      <c r="AI27" s="269"/>
      <c r="AJ27" s="269"/>
      <c r="AK27" s="269"/>
      <c r="AL27" s="269"/>
      <c r="AM27" s="269"/>
      <c r="AN27" s="269"/>
      <c r="AO27" s="269"/>
      <c r="AP27" s="269"/>
      <c r="AQ27" s="269"/>
    </row>
    <row r="28" spans="2:71" x14ac:dyDescent="0.45">
      <c r="B28" s="268"/>
      <c r="D28" t="s">
        <v>1359</v>
      </c>
      <c r="J28" s="269">
        <v>0</v>
      </c>
      <c r="K28" s="269">
        <v>0</v>
      </c>
      <c r="L28" s="269"/>
      <c r="M28" s="269"/>
      <c r="N28" s="269"/>
      <c r="O28" s="269">
        <v>0</v>
      </c>
      <c r="P28" s="269">
        <v>0</v>
      </c>
      <c r="Q28" s="269"/>
      <c r="R28" s="269"/>
      <c r="S28" s="269">
        <v>1.17</v>
      </c>
      <c r="T28" s="269">
        <v>1.08</v>
      </c>
      <c r="U28" s="269"/>
      <c r="V28" s="269"/>
      <c r="W28" s="269">
        <v>0</v>
      </c>
      <c r="X28" s="269">
        <v>0</v>
      </c>
      <c r="AF28" s="269" t="s">
        <v>108</v>
      </c>
      <c r="AG28" s="269">
        <v>0.22570000000000001</v>
      </c>
      <c r="AH28" s="269">
        <v>0.22009999999999999</v>
      </c>
      <c r="AI28" s="269">
        <v>0.37559999999999999</v>
      </c>
      <c r="AJ28" s="269">
        <v>0.25440000000000002</v>
      </c>
      <c r="AK28" s="269"/>
      <c r="AL28" s="269"/>
      <c r="AM28" t="s">
        <v>108</v>
      </c>
      <c r="AN28" s="269">
        <v>0.75549999999999995</v>
      </c>
      <c r="AO28" s="269">
        <v>0.62539999999999996</v>
      </c>
      <c r="AP28" s="269">
        <v>0.83840000000000003</v>
      </c>
      <c r="AQ28" s="269">
        <v>0.56730000000000003</v>
      </c>
      <c r="AT28" s="258">
        <v>38.03</v>
      </c>
    </row>
    <row r="29" spans="2:71" x14ac:dyDescent="0.45">
      <c r="B29" s="268"/>
      <c r="J29" s="269"/>
      <c r="K29" s="269"/>
      <c r="L29" s="269"/>
      <c r="M29" s="269"/>
      <c r="N29" s="269"/>
      <c r="O29" s="269"/>
      <c r="P29" s="269"/>
      <c r="Q29" s="269"/>
      <c r="R29" s="269"/>
      <c r="S29" s="269"/>
      <c r="T29" s="269"/>
      <c r="U29" s="269"/>
      <c r="V29" s="269"/>
      <c r="W29" s="269"/>
      <c r="X29" s="269"/>
      <c r="AK29" s="269"/>
      <c r="AL29" s="269"/>
    </row>
    <row r="30" spans="2:71" x14ac:dyDescent="0.45">
      <c r="B30" s="268"/>
      <c r="D30" t="s">
        <v>1360</v>
      </c>
      <c r="J30" s="269">
        <v>0</v>
      </c>
      <c r="K30" s="269">
        <v>0</v>
      </c>
      <c r="L30" s="269"/>
      <c r="M30" s="269"/>
      <c r="N30" s="269"/>
      <c r="O30" s="269">
        <v>0</v>
      </c>
      <c r="P30" s="269">
        <v>0</v>
      </c>
      <c r="Q30" s="269"/>
      <c r="R30" s="269"/>
      <c r="S30" s="269"/>
      <c r="T30" s="269"/>
      <c r="U30" s="269"/>
      <c r="V30" s="269"/>
      <c r="W30" s="269">
        <v>0.54320987654320985</v>
      </c>
      <c r="X30" s="269">
        <v>0.41199999999999992</v>
      </c>
      <c r="AF30" s="269">
        <v>0.13239999999999999</v>
      </c>
      <c r="AG30" s="219">
        <v>9.5600000000000004E-2</v>
      </c>
      <c r="AH30" s="269">
        <v>0.1033</v>
      </c>
      <c r="AI30" s="269">
        <v>9.2600000000000002E-2</v>
      </c>
      <c r="AJ30" s="269">
        <v>7.0800000000000002E-2</v>
      </c>
      <c r="AK30" s="269"/>
      <c r="AL30" s="269"/>
      <c r="AM30" s="269">
        <v>0.30499999999999999</v>
      </c>
      <c r="AN30" s="269">
        <v>0.2223</v>
      </c>
      <c r="AO30" s="269">
        <v>0.22450000000000001</v>
      </c>
      <c r="AP30" s="269">
        <v>0.1938</v>
      </c>
      <c r="AQ30" s="269">
        <v>0.15559999999999999</v>
      </c>
      <c r="AT30" s="258">
        <v>28.77</v>
      </c>
    </row>
    <row r="31" spans="2:71" x14ac:dyDescent="0.45">
      <c r="B31" s="268"/>
      <c r="J31" s="269"/>
      <c r="K31" s="269"/>
      <c r="L31" s="269"/>
      <c r="M31" s="269"/>
      <c r="N31" s="269"/>
      <c r="O31" s="269"/>
      <c r="P31" s="269"/>
      <c r="Q31" s="269"/>
      <c r="R31" s="269"/>
      <c r="S31" s="269"/>
      <c r="T31" s="269"/>
      <c r="U31" s="269"/>
      <c r="V31" s="269"/>
      <c r="W31" s="269"/>
      <c r="X31" s="269"/>
      <c r="AF31" s="269"/>
      <c r="AG31" s="269"/>
      <c r="AH31" s="269"/>
      <c r="AI31" s="269"/>
      <c r="AJ31" s="269"/>
      <c r="AK31" s="269"/>
      <c r="AL31" s="269"/>
      <c r="AM31" s="269"/>
      <c r="AN31" s="269"/>
      <c r="AO31" s="269"/>
      <c r="AP31" s="269"/>
      <c r="AQ31" s="269"/>
    </row>
    <row r="32" spans="2:71" x14ac:dyDescent="0.45">
      <c r="B32" s="268"/>
      <c r="D32" t="s">
        <v>1361</v>
      </c>
      <c r="J32" s="269">
        <v>0</v>
      </c>
      <c r="K32" s="269">
        <v>0</v>
      </c>
      <c r="L32" s="269"/>
      <c r="M32" s="269"/>
      <c r="N32" s="269"/>
      <c r="O32" s="269">
        <v>0</v>
      </c>
      <c r="P32" s="269">
        <v>0</v>
      </c>
      <c r="Q32" s="269"/>
      <c r="R32" s="269"/>
      <c r="S32" s="269">
        <v>1.08</v>
      </c>
      <c r="T32" s="269">
        <v>1.03</v>
      </c>
      <c r="U32" s="269"/>
      <c r="V32" s="269"/>
      <c r="W32" s="269">
        <v>0.20099233086486912</v>
      </c>
      <c r="X32" s="269">
        <v>0.21939101134390637</v>
      </c>
      <c r="AF32" s="269">
        <v>0.27700000000000002</v>
      </c>
      <c r="AG32" s="269">
        <v>0.32452792556775611</v>
      </c>
      <c r="AH32" s="269">
        <v>0.27217524533181792</v>
      </c>
      <c r="AI32" s="269">
        <v>0.23096681599914157</v>
      </c>
      <c r="AJ32" s="269">
        <v>0.22846395158379834</v>
      </c>
      <c r="AK32" s="269"/>
      <c r="AL32" s="269"/>
      <c r="AM32" s="269">
        <v>0.73728165217356478</v>
      </c>
      <c r="AN32" s="269">
        <v>1.017101411776121</v>
      </c>
      <c r="AO32" s="269">
        <v>1.0041305303825911</v>
      </c>
      <c r="AP32" s="269">
        <v>0.88103757008342942</v>
      </c>
      <c r="AQ32" s="269">
        <v>0.79029732655950691</v>
      </c>
      <c r="AT32" s="258">
        <v>13.78</v>
      </c>
    </row>
    <row r="33" spans="2:46" x14ac:dyDescent="0.45">
      <c r="B33" s="274" t="s">
        <v>1362</v>
      </c>
      <c r="J33" s="269"/>
      <c r="K33" s="269"/>
      <c r="L33" s="269"/>
      <c r="M33" s="269"/>
      <c r="N33" s="269"/>
      <c r="O33" s="269"/>
      <c r="P33" s="269"/>
      <c r="Q33" s="269"/>
      <c r="R33" s="269"/>
      <c r="S33" s="269"/>
      <c r="T33" s="269"/>
      <c r="U33" s="269"/>
      <c r="V33" s="269"/>
      <c r="W33" s="269"/>
      <c r="X33" s="269"/>
      <c r="AF33" s="269"/>
      <c r="AG33" s="269"/>
      <c r="AH33" s="269"/>
      <c r="AI33" s="269"/>
      <c r="AJ33" s="269"/>
      <c r="AK33" s="269"/>
      <c r="AL33" s="269"/>
      <c r="AM33" s="269"/>
      <c r="AN33" s="269"/>
      <c r="AO33" s="269"/>
      <c r="AP33" s="269"/>
      <c r="AQ33" s="269"/>
    </row>
    <row r="34" spans="2:46" x14ac:dyDescent="0.45">
      <c r="B34" s="268"/>
      <c r="D34" t="s">
        <v>1363</v>
      </c>
      <c r="J34" s="269">
        <v>0</v>
      </c>
      <c r="K34" s="269">
        <v>0</v>
      </c>
      <c r="L34" s="269"/>
      <c r="M34" s="269"/>
      <c r="N34" s="269"/>
      <c r="O34" s="269">
        <v>0.12643678160919536</v>
      </c>
      <c r="P34" s="269">
        <v>-0.18367346938775508</v>
      </c>
      <c r="Q34" s="269"/>
      <c r="R34" s="269"/>
      <c r="S34" s="269"/>
      <c r="T34" s="269"/>
      <c r="U34" s="269"/>
      <c r="V34" s="269"/>
      <c r="W34" s="269">
        <v>7.1055381400209061E-2</v>
      </c>
      <c r="X34" s="269">
        <v>4.2926829268292721E-2</v>
      </c>
      <c r="AF34" s="269">
        <v>0.12402110782780584</v>
      </c>
      <c r="AG34" s="269">
        <v>0.12870776225600508</v>
      </c>
      <c r="AH34" s="269">
        <v>0.12655448212070269</v>
      </c>
      <c r="AI34" s="269">
        <v>0.12247168717254875</v>
      </c>
      <c r="AJ34" s="269">
        <v>0.13213135457315445</v>
      </c>
      <c r="AK34" s="269"/>
      <c r="AL34" s="269"/>
      <c r="AM34" s="269">
        <v>0.20017404770966743</v>
      </c>
      <c r="AN34" s="269">
        <v>0.20515687246950989</v>
      </c>
      <c r="AO34" s="269">
        <v>0.21841483199847306</v>
      </c>
      <c r="AP34" s="269">
        <v>0.21178131772457404</v>
      </c>
      <c r="AQ34" s="269">
        <v>0.21104148848024804</v>
      </c>
      <c r="AT34" s="258">
        <v>9.75</v>
      </c>
    </row>
    <row r="35" spans="2:46" x14ac:dyDescent="0.45">
      <c r="B35" s="268"/>
      <c r="J35" s="269"/>
      <c r="K35" s="269"/>
      <c r="L35" s="269"/>
      <c r="M35" s="269"/>
      <c r="N35" s="269"/>
      <c r="O35" s="269"/>
      <c r="P35" s="269"/>
      <c r="Q35" s="269"/>
      <c r="R35" s="269"/>
      <c r="S35" s="269"/>
      <c r="T35" s="269"/>
      <c r="U35" s="269"/>
      <c r="V35" s="269"/>
      <c r="W35" s="269"/>
      <c r="X35" s="269"/>
      <c r="AF35" s="269"/>
      <c r="AG35" s="269"/>
      <c r="AH35" s="269"/>
      <c r="AI35" s="269"/>
      <c r="AJ35" s="269"/>
      <c r="AK35" s="269"/>
      <c r="AL35" s="269"/>
      <c r="AM35" s="269"/>
      <c r="AN35" s="269"/>
      <c r="AO35" s="269"/>
      <c r="AP35" s="269"/>
      <c r="AQ35" s="269"/>
    </row>
    <row r="36" spans="2:46" x14ac:dyDescent="0.45">
      <c r="B36" s="268"/>
      <c r="D36" t="s">
        <v>1364</v>
      </c>
      <c r="J36" s="269">
        <v>0</v>
      </c>
      <c r="K36" s="269">
        <v>0</v>
      </c>
      <c r="L36" s="269"/>
      <c r="M36" s="269"/>
      <c r="N36" s="269"/>
      <c r="O36" s="269">
        <v>0</v>
      </c>
      <c r="P36" s="269">
        <v>0</v>
      </c>
      <c r="Q36" s="269"/>
      <c r="R36" s="269"/>
      <c r="S36" s="269">
        <v>1</v>
      </c>
      <c r="T36" s="269">
        <v>1</v>
      </c>
      <c r="U36" s="269"/>
      <c r="V36" s="269"/>
      <c r="W36" s="269">
        <v>0.22459304883413989</v>
      </c>
      <c r="X36" s="269">
        <v>0.18609664091970535</v>
      </c>
      <c r="AF36" s="269">
        <v>0.42730024156334107</v>
      </c>
      <c r="AG36" s="269">
        <v>0.39861593202031681</v>
      </c>
      <c r="AH36" s="269">
        <v>0.36563533761432188</v>
      </c>
      <c r="AI36" s="269">
        <v>0.36148648648648651</v>
      </c>
      <c r="AJ36" s="269">
        <v>0.3394406943105111</v>
      </c>
      <c r="AK36" s="269"/>
      <c r="AL36" s="269"/>
      <c r="AM36" s="269">
        <v>0.41747615106503461</v>
      </c>
      <c r="AN36" s="269">
        <v>0.38148275264729287</v>
      </c>
      <c r="AO36" s="269">
        <v>0.3790620743335279</v>
      </c>
      <c r="AP36" s="269">
        <v>0.3926962676962677</v>
      </c>
      <c r="AQ36" s="269">
        <v>0.39137622262019561</v>
      </c>
      <c r="AT36" s="258">
        <f>65469.6/2512</f>
        <v>26.062738853503184</v>
      </c>
    </row>
    <row r="37" spans="2:46" x14ac:dyDescent="0.45">
      <c r="B37" s="268"/>
      <c r="J37" s="269"/>
      <c r="K37" s="269"/>
      <c r="L37" s="269"/>
      <c r="M37" s="269"/>
      <c r="N37" s="269"/>
      <c r="O37" s="269"/>
      <c r="P37" s="269"/>
      <c r="Q37" s="269"/>
      <c r="R37" s="269"/>
      <c r="S37" s="269"/>
      <c r="T37" s="269"/>
      <c r="U37" s="269"/>
      <c r="V37" s="269"/>
      <c r="W37" s="269"/>
      <c r="X37" s="269"/>
      <c r="AF37" s="269"/>
      <c r="AG37" s="269"/>
      <c r="AH37" s="269"/>
      <c r="AI37" s="269"/>
      <c r="AJ37" s="269"/>
      <c r="AK37" s="269"/>
      <c r="AL37" s="269"/>
      <c r="AM37" s="269"/>
      <c r="AN37" s="269"/>
      <c r="AO37" s="269"/>
      <c r="AP37" s="269"/>
      <c r="AQ37" s="269"/>
    </row>
    <row r="38" spans="2:46" x14ac:dyDescent="0.45">
      <c r="B38" s="268"/>
      <c r="D38" s="264" t="s">
        <v>1365</v>
      </c>
      <c r="J38" s="269"/>
      <c r="K38" s="269"/>
      <c r="L38" s="269"/>
      <c r="M38" s="269"/>
      <c r="N38" s="269"/>
      <c r="O38" s="269"/>
      <c r="P38" s="269"/>
      <c r="Q38" s="269"/>
      <c r="R38" s="269"/>
      <c r="S38" s="269"/>
      <c r="T38" s="269"/>
      <c r="U38" s="269"/>
      <c r="V38" s="269"/>
      <c r="W38" s="269"/>
      <c r="X38" s="269"/>
      <c r="AF38" s="269"/>
      <c r="AG38" s="269"/>
      <c r="AH38" s="269"/>
      <c r="AI38" s="269"/>
      <c r="AJ38" s="269"/>
      <c r="AK38" s="269"/>
      <c r="AL38" s="269"/>
      <c r="AM38" s="269"/>
      <c r="AN38" s="269"/>
      <c r="AO38" s="269"/>
      <c r="AP38" s="269"/>
      <c r="AQ38" s="269"/>
    </row>
    <row r="39" spans="2:46" x14ac:dyDescent="0.45">
      <c r="B39" s="268"/>
      <c r="D39" t="s">
        <v>1366</v>
      </c>
      <c r="J39" s="269">
        <v>0.11393577603952254</v>
      </c>
      <c r="K39" s="269">
        <v>0.11161415504019212</v>
      </c>
      <c r="L39" s="269"/>
      <c r="M39" s="269"/>
      <c r="N39" s="269"/>
      <c r="O39" s="269">
        <v>0</v>
      </c>
      <c r="P39" s="269">
        <v>0</v>
      </c>
      <c r="Q39" s="269"/>
      <c r="R39" s="269"/>
      <c r="S39" s="269">
        <v>1.1499999999999999</v>
      </c>
      <c r="T39" s="269">
        <v>1</v>
      </c>
      <c r="U39" s="269"/>
      <c r="V39" s="269"/>
      <c r="W39" s="269">
        <v>0</v>
      </c>
      <c r="X39" s="269">
        <v>0</v>
      </c>
      <c r="AF39" s="269">
        <v>0.63</v>
      </c>
      <c r="AG39" s="269">
        <v>0.53</v>
      </c>
      <c r="AH39" s="269">
        <v>0.54</v>
      </c>
      <c r="AI39" s="269">
        <v>0.54</v>
      </c>
      <c r="AJ39" s="269">
        <v>0.5</v>
      </c>
      <c r="AK39" s="269"/>
      <c r="AL39" s="269"/>
      <c r="AM39" s="269">
        <v>0.33</v>
      </c>
      <c r="AN39" s="269">
        <v>0.34</v>
      </c>
      <c r="AO39" s="269">
        <v>0.31</v>
      </c>
      <c r="AP39" s="269">
        <v>0.3</v>
      </c>
      <c r="AQ39" s="269">
        <v>0.22</v>
      </c>
      <c r="AT39" s="258">
        <f>3126.81/-23.24</f>
        <v>-134.54432013769363</v>
      </c>
    </row>
    <row r="40" spans="2:46" x14ac:dyDescent="0.45">
      <c r="B40" s="268"/>
      <c r="J40" s="269"/>
      <c r="K40" s="269"/>
      <c r="L40" s="269"/>
      <c r="M40" s="269"/>
      <c r="N40" s="269"/>
      <c r="O40" s="269"/>
      <c r="P40" s="269"/>
      <c r="Q40" s="269"/>
      <c r="R40" s="269"/>
      <c r="S40" s="269"/>
      <c r="T40" s="269"/>
      <c r="U40" s="269"/>
      <c r="V40" s="269"/>
      <c r="W40" s="269"/>
      <c r="X40" s="269"/>
      <c r="AF40" s="269"/>
      <c r="AG40" s="269"/>
      <c r="AH40" s="269"/>
      <c r="AI40" s="269"/>
      <c r="AJ40" s="269"/>
      <c r="AK40" s="269"/>
      <c r="AL40" s="269"/>
      <c r="AM40" s="269"/>
      <c r="AN40" s="269"/>
      <c r="AO40" s="269"/>
      <c r="AP40" s="269"/>
      <c r="AQ40" s="269"/>
    </row>
    <row r="41" spans="2:46" x14ac:dyDescent="0.45">
      <c r="B41" s="268"/>
      <c r="D41" t="s">
        <v>1367</v>
      </c>
      <c r="J41" s="269">
        <v>8.7087087087087012E-2</v>
      </c>
      <c r="K41" s="269">
        <v>7.8729281767955905E-2</v>
      </c>
      <c r="L41" s="269"/>
      <c r="M41" s="269"/>
      <c r="N41" s="269"/>
      <c r="O41" s="269">
        <v>0.19155236447969259</v>
      </c>
      <c r="P41" s="269">
        <v>8.2058050903681012E-2</v>
      </c>
      <c r="Q41" s="269"/>
      <c r="R41" s="269"/>
      <c r="S41" s="269">
        <v>0.92</v>
      </c>
      <c r="T41" s="269">
        <v>0.92</v>
      </c>
      <c r="U41" s="269"/>
      <c r="V41" s="269"/>
      <c r="W41" s="269">
        <v>0.29532118901396021</v>
      </c>
      <c r="X41" s="269">
        <v>0.16724770408256195</v>
      </c>
      <c r="AF41" s="269">
        <v>0.11491142633263275</v>
      </c>
      <c r="AG41" s="269">
        <v>0.12142467054493648</v>
      </c>
      <c r="AH41" s="269">
        <v>0.1213975797870458</v>
      </c>
      <c r="AI41" s="269">
        <v>0.14935211595976816</v>
      </c>
      <c r="AJ41" s="269">
        <v>0.13914003495412272</v>
      </c>
      <c r="AK41" s="269"/>
      <c r="AL41" s="269"/>
      <c r="AM41" s="269">
        <v>0.45839710588562682</v>
      </c>
      <c r="AN41" s="269">
        <v>0.44573034152518898</v>
      </c>
      <c r="AO41" s="269">
        <v>0.44608903684584295</v>
      </c>
      <c r="AP41" s="269">
        <v>0.44492074941076615</v>
      </c>
      <c r="AQ41" s="269">
        <v>0.41091380063666438</v>
      </c>
      <c r="AT41" s="258">
        <f>10558.61/583</f>
        <v>18.11082332761578</v>
      </c>
    </row>
    <row r="42" spans="2:46" x14ac:dyDescent="0.45">
      <c r="B42" s="268"/>
      <c r="J42" s="269"/>
      <c r="K42" s="269"/>
      <c r="L42" s="269"/>
      <c r="M42" s="269"/>
      <c r="N42" s="269"/>
      <c r="O42" s="269"/>
      <c r="P42" s="269"/>
      <c r="Q42" s="269"/>
      <c r="R42" s="269"/>
      <c r="S42" s="269"/>
      <c r="T42" s="269"/>
      <c r="U42" s="269"/>
      <c r="V42" s="269"/>
      <c r="W42" s="269"/>
      <c r="X42" s="269"/>
      <c r="AF42" s="269"/>
      <c r="AG42" s="269"/>
      <c r="AH42" s="269"/>
      <c r="AI42" s="269"/>
      <c r="AJ42" s="269"/>
      <c r="AK42" s="269"/>
      <c r="AL42" s="269"/>
      <c r="AM42" s="269"/>
      <c r="AN42" s="269"/>
      <c r="AO42" s="269"/>
      <c r="AP42" s="269"/>
      <c r="AQ42" s="269"/>
    </row>
    <row r="43" spans="2:46" x14ac:dyDescent="0.45">
      <c r="B43" s="268"/>
      <c r="D43" t="s">
        <v>1368</v>
      </c>
      <c r="J43" s="269">
        <v>0</v>
      </c>
      <c r="K43" s="269">
        <v>0</v>
      </c>
      <c r="L43" s="269"/>
      <c r="M43" s="269"/>
      <c r="N43" s="269"/>
      <c r="O43" s="269">
        <v>0</v>
      </c>
      <c r="P43" s="269">
        <v>0</v>
      </c>
      <c r="Q43" s="269"/>
      <c r="R43" s="269"/>
      <c r="S43" s="269">
        <v>1.05</v>
      </c>
      <c r="T43" s="269">
        <v>1.05</v>
      </c>
      <c r="U43" s="269"/>
      <c r="V43" s="269"/>
      <c r="W43" s="269">
        <v>9.5781536580395343E-2</v>
      </c>
      <c r="X43" s="269">
        <v>0.11102845452854759</v>
      </c>
      <c r="AF43" s="269">
        <v>0.27118050023896767</v>
      </c>
      <c r="AG43" s="269">
        <v>0.25224466891133557</v>
      </c>
      <c r="AH43" s="269">
        <v>0.26136363636363635</v>
      </c>
      <c r="AI43" s="269">
        <v>0.25169635284139102</v>
      </c>
      <c r="AJ43" s="269">
        <v>0.26015473887814311</v>
      </c>
      <c r="AK43" s="269"/>
      <c r="AL43" s="269"/>
      <c r="AM43" s="269">
        <v>0.53739047315596622</v>
      </c>
      <c r="AN43" s="269">
        <v>0.52553310886644222</v>
      </c>
      <c r="AO43" s="269">
        <v>0.50773694390715662</v>
      </c>
      <c r="AP43" s="269">
        <v>0.48049194232400338</v>
      </c>
      <c r="AQ43" s="269">
        <v>0.46982591876208896</v>
      </c>
      <c r="AT43" s="258">
        <f>64782.62/2411</f>
        <v>26.869605972625468</v>
      </c>
    </row>
    <row r="46" spans="2:46" x14ac:dyDescent="0.45">
      <c r="B46" s="222" t="s">
        <v>1355</v>
      </c>
      <c r="J46" s="283">
        <f>AVERAGEIF(J23:J43, "&lt;&gt;0")</f>
        <v>0.14209355017207867</v>
      </c>
      <c r="K46" s="283">
        <f>AVERAGEIF(K23:K43, "&lt;&gt;0")</f>
        <v>0.13308844333884284</v>
      </c>
      <c r="O46" s="283">
        <f>AVERAGEIF(O23:O43, "&lt;&gt;0")</f>
        <v>0.11259556385052576</v>
      </c>
      <c r="P46" s="283">
        <f>AVERAGEIF(P23:P43, "&lt;&gt;0")</f>
        <v>-3.5072321504529734E-2</v>
      </c>
      <c r="Q46" s="283">
        <f>AVERAGE(O46:P46)</f>
        <v>3.8761621172998015E-2</v>
      </c>
      <c r="S46" s="283">
        <f>AVERAGE(S23:S44)</f>
        <v>1.0584285714285715</v>
      </c>
      <c r="T46" s="283">
        <f>AVERAGE(T23:T44)</f>
        <v>1.0145714285714287</v>
      </c>
      <c r="U46" s="283">
        <f>AVERAGE(S46:T46)</f>
        <v>1.0365000000000002</v>
      </c>
      <c r="W46" s="283">
        <f>AVERAGEIF(W23:W43, "&lt;&gt;0")</f>
        <v>0.23538407534092226</v>
      </c>
      <c r="X46" s="283">
        <f>AVERAGEIF(X23:X43, "&lt;&gt;0")</f>
        <v>0.17762948927380678</v>
      </c>
      <c r="AF46" s="283">
        <f>AVERAGEIF(AF23:AF43, "&lt;&gt;0")</f>
        <v>0.28097665949534339</v>
      </c>
      <c r="AG46" s="283">
        <f>AVERAGEIF(AG23:AG43, "&lt;&gt;0")</f>
        <v>0.255582095930035</v>
      </c>
      <c r="AH46" s="283">
        <f>AVERAGEIF(AH23:AH43, "&lt;&gt;0")</f>
        <v>0.24915262812175248</v>
      </c>
      <c r="AI46" s="283">
        <f>AVERAGEIF(AI23:AI43, "&lt;&gt;0")</f>
        <v>0.2596173458459336</v>
      </c>
      <c r="AJ46" s="283">
        <f>AVERAGEIF(AJ23:AJ43, "&lt;&gt;0")</f>
        <v>0.23665307742997294</v>
      </c>
      <c r="AK46" s="278">
        <f>AVERAGE(AF46:AJ46)</f>
        <v>0.25639636136460747</v>
      </c>
      <c r="AM46" s="272">
        <f>AVERAGEIF(AM23:AM39,"&lt;&gt;0")</f>
        <v>0.36115530849137784</v>
      </c>
      <c r="AN46" s="272">
        <f>AVERAGEIF(AN23:AN39,"&lt;&gt;0")</f>
        <v>0.40881762961161544</v>
      </c>
      <c r="AO46" s="272">
        <f>AVERAGEIF(AO23:AO39,"&lt;&gt;0")</f>
        <v>0.38068842958932397</v>
      </c>
      <c r="AP46" s="272">
        <f>AVERAGEIF(AP23:AP39,"&lt;&gt;0")</f>
        <v>0.38533939443803389</v>
      </c>
      <c r="AQ46" s="272">
        <f>AVERAGEIF(AQ23:AQ39,"&lt;&gt;0")</f>
        <v>0.31995187970749384</v>
      </c>
      <c r="AR46" s="278">
        <f>AVERAGE(AM46:AQ46)</f>
        <v>0.37119052836756899</v>
      </c>
      <c r="AT46" s="258">
        <f>AVERAGEIF(AT23:AT39,"&lt;&gt;0")</f>
        <v>2.602038091012794</v>
      </c>
    </row>
    <row r="47" spans="2:46" x14ac:dyDescent="0.45">
      <c r="B47" s="222" t="s">
        <v>515</v>
      </c>
      <c r="J47" s="283">
        <f>MEDIAN(J23:J43)</f>
        <v>0</v>
      </c>
      <c r="K47" s="283">
        <f>MEDIAN(K23:K43)</f>
        <v>0</v>
      </c>
      <c r="O47" s="283">
        <f>MEDIAN(O23:O43)</f>
        <v>0</v>
      </c>
      <c r="P47" s="283">
        <f>MEDIAN(P23:P43)</f>
        <v>0</v>
      </c>
      <c r="S47" s="283">
        <f>MEDIAN(S23:S43)</f>
        <v>1.05</v>
      </c>
      <c r="T47" s="283">
        <f>MEDIAN(T23:T43)</f>
        <v>1.022</v>
      </c>
      <c r="U47" s="283">
        <f>AVERAGE(S47:T47)</f>
        <v>1.036</v>
      </c>
      <c r="W47" s="283">
        <f>MEDIAN(W23:W43)</f>
        <v>0.20179834310823863</v>
      </c>
      <c r="X47" s="283">
        <f>MEDIAN(X23:X43)</f>
        <v>0.13913807930555477</v>
      </c>
      <c r="AF47" s="272" cm="1">
        <f t="array" ref="AF47">MEDIAN(_xlfn._xlws.FILTER(AF23:AF39,AF23:AF39&lt;&gt;0))</f>
        <v>0.27400000000000002</v>
      </c>
      <c r="AG47" s="272" cm="1">
        <f t="array" ref="AG47">MEDIAN(_xlfn._xlws.FILTER(AG23:AG39,AG23:AG39&lt;&gt;0))</f>
        <v>0.23949999999999999</v>
      </c>
      <c r="AH47" s="272" cm="1">
        <f t="array" ref="AH47">MEDIAN(_xlfn._xlws.FILTER(AH23:AH39,AH23:AH39&lt;&gt;0))</f>
        <v>0.24049999999999999</v>
      </c>
      <c r="AI47" s="272" cm="1">
        <f t="array" ref="AI47">MEDIAN(_xlfn._xlws.FILTER(AI23:AI39,AI23:AI39&lt;&gt;0))</f>
        <v>0.25548340799957081</v>
      </c>
      <c r="AJ47" s="272" cm="1">
        <f t="array" ref="AJ47">MEDIAN(_xlfn._xlws.FILTER(AJ23:AJ39,AJ23:AJ39&lt;&gt;0))</f>
        <v>0.24143197579189918</v>
      </c>
      <c r="AK47" s="278">
        <f>AVERAGE(AF47:AJ47)</f>
        <v>0.25018307675829404</v>
      </c>
      <c r="AL47" s="272"/>
      <c r="AM47" s="272" cm="1">
        <f t="array" ref="AM47">MEDIAN(_xlfn._xlws.FILTER(AM23:AM39,AM23:AM39&lt;&gt;0))</f>
        <v>0.3175</v>
      </c>
      <c r="AN47" s="272" cm="1">
        <f t="array" ref="AN47">MEDIAN(_xlfn._xlws.FILTER(AN23:AN39,AN23:AN39&lt;&gt;0))</f>
        <v>0.28949999999999998</v>
      </c>
      <c r="AO47" s="272" cm="1">
        <f t="array" ref="AO47">MEDIAN(_xlfn._xlws.FILTER(AO23:AO39,AO23:AO39&lt;&gt;0))</f>
        <v>0.26724999999999999</v>
      </c>
      <c r="AP47" s="272" cm="1">
        <f t="array" ref="AP47">MEDIAN(_xlfn._xlws.FILTER(AP23:AP39,AP23:AP39&lt;&gt;0))</f>
        <v>0.25589065886228701</v>
      </c>
      <c r="AQ47" s="272" cm="1">
        <f t="array" ref="AQ47">MEDIAN(_xlfn._xlws.FILTER(AQ23:AQ39,AQ23:AQ39&lt;&gt;0))</f>
        <v>0.21552074424012402</v>
      </c>
      <c r="AR47" s="278">
        <f>AVERAGE(AM47:AQ47)</f>
        <v>0.26913228062048217</v>
      </c>
      <c r="AT47" s="258" cm="1">
        <f t="array" ref="AT47">MEDIAN(_xlfn._xlws.FILTER(AT23:AT39,AT23:AT39&lt;&gt;0))</f>
        <v>19.483943006146397</v>
      </c>
    </row>
    <row r="62" spans="4:4" x14ac:dyDescent="0.45">
      <c r="D62" s="219">
        <v>0.10199999999999999</v>
      </c>
    </row>
  </sheetData>
  <mergeCells count="5">
    <mergeCell ref="AV3:AX3"/>
    <mergeCell ref="BA3:BC3"/>
    <mergeCell ref="BF3:BH3"/>
    <mergeCell ref="BK3:BM3"/>
    <mergeCell ref="BP3:BR3"/>
  </mergeCells>
  <pageMargins left="0.7" right="0.7" top="0.75" bottom="0.75" header="0.3" footer="0.3"/>
  <legacy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F6548B-CD15-4C7D-A103-42F511F30B88}">
  <dimension ref="A2:Q64"/>
  <sheetViews>
    <sheetView showGridLines="0" zoomScale="77" zoomScaleNormal="70" workbookViewId="0">
      <selection activeCell="B2" sqref="B2"/>
    </sheetView>
  </sheetViews>
  <sheetFormatPr defaultColWidth="15.33203125" defaultRowHeight="14.25" x14ac:dyDescent="0.45"/>
  <cols>
    <col min="1" max="1" width="4.33203125" style="3" customWidth="1"/>
    <col min="2" max="2" width="32.33203125" style="3" bestFit="1" customWidth="1"/>
    <col min="3" max="6" width="15.33203125" style="3"/>
    <col min="7" max="8" width="15.33203125" style="3" customWidth="1"/>
    <col min="9" max="9" width="15.33203125" style="3"/>
    <col min="10" max="10" width="18" style="3" bestFit="1" customWidth="1"/>
    <col min="11" max="11" width="15.33203125" style="3"/>
    <col min="12" max="12" width="18" style="3" bestFit="1" customWidth="1"/>
    <col min="13" max="13" width="20.33203125" style="3" bestFit="1" customWidth="1"/>
    <col min="14" max="14" width="17.1328125" style="3" customWidth="1"/>
    <col min="15" max="15" width="18.33203125" style="3" customWidth="1"/>
    <col min="16" max="16384" width="15.33203125" style="3"/>
  </cols>
  <sheetData>
    <row r="2" spans="1:17" ht="15" customHeight="1" x14ac:dyDescent="0.45">
      <c r="A2" s="1" t="s">
        <v>18</v>
      </c>
      <c r="B2" s="4" t="s">
        <v>19</v>
      </c>
      <c r="C2" s="4"/>
      <c r="D2" s="1" t="s">
        <v>18</v>
      </c>
      <c r="E2" s="4" t="s">
        <v>20</v>
      </c>
      <c r="F2" s="4"/>
      <c r="G2" s="4"/>
      <c r="H2" s="4"/>
      <c r="I2" s="4"/>
      <c r="J2" s="4"/>
      <c r="K2" s="4"/>
      <c r="L2" s="4"/>
      <c r="M2" s="4"/>
      <c r="N2" s="4"/>
      <c r="O2" s="4"/>
    </row>
    <row r="3" spans="1:17" x14ac:dyDescent="0.45">
      <c r="B3" s="617" t="s">
        <v>21</v>
      </c>
      <c r="C3" s="617"/>
    </row>
    <row r="5" spans="1:17" ht="14.65" thickBot="1" x14ac:dyDescent="0.5">
      <c r="A5" s="1" t="s">
        <v>18</v>
      </c>
      <c r="B5" s="55" t="s">
        <v>22</v>
      </c>
      <c r="C5" s="56"/>
      <c r="E5" s="55" t="s">
        <v>23</v>
      </c>
      <c r="F5" s="56"/>
      <c r="G5" s="62" t="s">
        <v>24</v>
      </c>
      <c r="H5" s="62" t="s">
        <v>25</v>
      </c>
      <c r="K5" s="55" t="s">
        <v>26</v>
      </c>
      <c r="L5" s="55"/>
      <c r="M5" s="55"/>
      <c r="N5" s="56"/>
      <c r="O5" s="62" t="s">
        <v>25</v>
      </c>
    </row>
    <row r="6" spans="1:17" x14ac:dyDescent="0.45">
      <c r="B6" s="60" t="s">
        <v>27</v>
      </c>
      <c r="C6" s="79">
        <f ca="1">C31/C8</f>
        <v>59.405430075512101</v>
      </c>
      <c r="E6" s="3" t="s">
        <v>28</v>
      </c>
      <c r="G6" s="76">
        <f ca="1">H6/$H$11</f>
        <v>3.8061233135431395E-2</v>
      </c>
      <c r="H6" s="29">
        <f ca="1">MAX(-C13-H41,0)</f>
        <v>291183.41795822652</v>
      </c>
      <c r="K6" s="3" t="s">
        <v>29</v>
      </c>
      <c r="O6" s="65">
        <f>C28</f>
        <v>7000202.0277200006</v>
      </c>
    </row>
    <row r="7" spans="1:17" x14ac:dyDescent="0.45">
      <c r="B7" s="60" t="s">
        <v>30</v>
      </c>
      <c r="C7" s="79">
        <f ca="1">$G$37</f>
        <v>21.549951084648498</v>
      </c>
      <c r="E7" s="3" t="s">
        <v>31</v>
      </c>
      <c r="G7" s="76">
        <f t="shared" ref="G7:G10" ca="1" si="0">H7/$H$11</f>
        <v>6.5356113686548768E-3</v>
      </c>
      <c r="H7" s="290">
        <v>50000</v>
      </c>
      <c r="K7" s="3" t="s">
        <v>32</v>
      </c>
      <c r="O7" s="29">
        <f>C15</f>
        <v>57140</v>
      </c>
    </row>
    <row r="8" spans="1:17" x14ac:dyDescent="0.45">
      <c r="B8" s="60" t="s">
        <v>33</v>
      </c>
      <c r="C8" s="290">
        <v>123315</v>
      </c>
      <c r="E8" s="3" t="s">
        <v>34</v>
      </c>
      <c r="G8" s="76">
        <f t="shared" ca="1" si="0"/>
        <v>0.30063812295812431</v>
      </c>
      <c r="H8" s="290">
        <v>2300000</v>
      </c>
      <c r="K8" s="3" t="s">
        <v>35</v>
      </c>
      <c r="O8" s="29">
        <f>C16</f>
        <v>487846</v>
      </c>
    </row>
    <row r="9" spans="1:17" x14ac:dyDescent="0.45">
      <c r="B9" s="60" t="s">
        <v>36</v>
      </c>
      <c r="C9" s="58">
        <f ca="1">IF(C6=C7,1,0)</f>
        <v>0</v>
      </c>
      <c r="E9" s="3" t="s">
        <v>37</v>
      </c>
      <c r="G9" s="76">
        <f t="shared" ca="1" si="0"/>
        <v>3.9213668211929259E-2</v>
      </c>
      <c r="H9" s="290">
        <v>300000</v>
      </c>
      <c r="K9" s="3" t="s">
        <v>38</v>
      </c>
      <c r="O9" s="65">
        <f ca="1">O29</f>
        <v>105205.66609761775</v>
      </c>
      <c r="Q9" s="65"/>
    </row>
    <row r="10" spans="1:17" ht="14.65" thickBot="1" x14ac:dyDescent="0.5">
      <c r="E10" s="3" t="s">
        <v>39</v>
      </c>
      <c r="G10" s="76">
        <f t="shared" ca="1" si="0"/>
        <v>0.61555136432586011</v>
      </c>
      <c r="H10" s="65">
        <f ca="1">H11-SUM(H6:H9)</f>
        <v>4709210.2758593913</v>
      </c>
      <c r="K10" s="63" t="s">
        <v>40</v>
      </c>
      <c r="L10" s="63"/>
      <c r="M10" s="59"/>
      <c r="N10" s="59"/>
      <c r="O10" s="73">
        <f ca="1">SUM(O6:O9)</f>
        <v>7650393.6938176183</v>
      </c>
    </row>
    <row r="11" spans="1:17" ht="14.65" thickBot="1" x14ac:dyDescent="0.5">
      <c r="A11" s="1" t="s">
        <v>18</v>
      </c>
      <c r="B11" s="55" t="s">
        <v>41</v>
      </c>
      <c r="C11" s="56"/>
      <c r="E11" s="63" t="s">
        <v>42</v>
      </c>
      <c r="F11" s="59"/>
      <c r="G11" s="83">
        <f ca="1">SUM(G6:G10)</f>
        <v>1</v>
      </c>
      <c r="H11" s="73">
        <f ca="1">O10</f>
        <v>7650393.6938176183</v>
      </c>
    </row>
    <row r="12" spans="1:17" x14ac:dyDescent="0.45">
      <c r="B12" s="60" t="s">
        <v>43</v>
      </c>
      <c r="C12" s="290">
        <v>6470030</v>
      </c>
    </row>
    <row r="13" spans="1:17" ht="14.65" thickBot="1" x14ac:dyDescent="0.5">
      <c r="B13" s="57" t="s">
        <v>44</v>
      </c>
      <c r="C13" s="514">
        <f ca="1">-Model!S45</f>
        <v>-329961.41795822652</v>
      </c>
      <c r="E13" s="55" t="s">
        <v>45</v>
      </c>
      <c r="F13" s="55"/>
      <c r="G13" s="62" t="s">
        <v>46</v>
      </c>
      <c r="H13" s="62" t="s">
        <v>25</v>
      </c>
      <c r="K13"/>
      <c r="L13"/>
    </row>
    <row r="14" spans="1:17" x14ac:dyDescent="0.45">
      <c r="B14" s="61" t="s">
        <v>47</v>
      </c>
      <c r="C14" s="515"/>
      <c r="E14" s="3" t="s">
        <v>48</v>
      </c>
      <c r="G14" s="76">
        <f ca="1">H14/$H$16</f>
        <v>0.63990701438537989</v>
      </c>
      <c r="H14" s="65">
        <f ca="1">H10</f>
        <v>4709210.2758593913</v>
      </c>
      <c r="K14"/>
      <c r="L14"/>
    </row>
    <row r="15" spans="1:17" x14ac:dyDescent="0.45">
      <c r="B15" s="85" t="s">
        <v>49</v>
      </c>
      <c r="C15" s="514">
        <f>Model!S67</f>
        <v>57140</v>
      </c>
      <c r="E15" s="3" t="s">
        <v>47</v>
      </c>
      <c r="G15" s="76">
        <f ca="1">H15/$H$16</f>
        <v>0.36009298561462005</v>
      </c>
      <c r="H15" s="65">
        <f>SUM(H7:H9)</f>
        <v>2650000</v>
      </c>
      <c r="K15"/>
      <c r="L15"/>
    </row>
    <row r="16" spans="1:17" ht="14.65" thickBot="1" x14ac:dyDescent="0.5">
      <c r="B16" s="86" t="s">
        <v>50</v>
      </c>
      <c r="C16" s="516">
        <f>Model!S77</f>
        <v>487846</v>
      </c>
      <c r="E16" s="63" t="s">
        <v>51</v>
      </c>
      <c r="F16" s="59"/>
      <c r="G16" s="83">
        <f ca="1">SUM(G14:G15)</f>
        <v>1</v>
      </c>
      <c r="H16" s="73">
        <f ca="1">SUM(H14:H15)</f>
        <v>7359210.2758593913</v>
      </c>
    </row>
    <row r="17" spans="1:15" x14ac:dyDescent="0.45">
      <c r="B17" s="61" t="s">
        <v>52</v>
      </c>
      <c r="C17" s="29">
        <f>SUM(C15:C16)</f>
        <v>544986</v>
      </c>
    </row>
    <row r="18" spans="1:15" x14ac:dyDescent="0.45">
      <c r="B18" s="60" t="s">
        <v>53</v>
      </c>
      <c r="C18" s="29">
        <f ca="1">SUM(C17,C13)</f>
        <v>215024.58204177348</v>
      </c>
    </row>
    <row r="19" spans="1:15" x14ac:dyDescent="0.45">
      <c r="B19" s="61" t="s">
        <v>54</v>
      </c>
      <c r="C19" s="29"/>
    </row>
    <row r="20" spans="1:15" x14ac:dyDescent="0.45">
      <c r="B20" s="57" t="s">
        <v>55</v>
      </c>
      <c r="C20" s="514">
        <f>Model!S68</f>
        <v>12640</v>
      </c>
    </row>
    <row r="21" spans="1:15" x14ac:dyDescent="0.45">
      <c r="B21" s="57" t="s">
        <v>56</v>
      </c>
      <c r="C21" s="514">
        <f>Model!S78</f>
        <v>97714</v>
      </c>
    </row>
    <row r="22" spans="1:15" ht="14.65" thickBot="1" x14ac:dyDescent="0.5">
      <c r="B22" s="78" t="s">
        <v>57</v>
      </c>
      <c r="C22" s="89">
        <f>SUM(C20:C21)</f>
        <v>110354</v>
      </c>
    </row>
    <row r="23" spans="1:15" ht="14.65" thickBot="1" x14ac:dyDescent="0.5">
      <c r="B23" s="87" t="s">
        <v>58</v>
      </c>
      <c r="C23" s="88">
        <f ca="1">SUM(C12+C18+C22)</f>
        <v>6795408.5820417739</v>
      </c>
      <c r="D23" s="1" t="s">
        <v>18</v>
      </c>
      <c r="E23" s="4" t="s">
        <v>59</v>
      </c>
      <c r="F23" s="4"/>
      <c r="G23" s="4"/>
      <c r="H23" s="4"/>
      <c r="I23" s="4"/>
      <c r="J23" s="4"/>
      <c r="K23" s="4"/>
      <c r="L23" s="4"/>
      <c r="M23" s="4"/>
      <c r="N23" s="4"/>
      <c r="O23" s="4"/>
    </row>
    <row r="25" spans="1:15" ht="14.65" thickBot="1" x14ac:dyDescent="0.5">
      <c r="A25" s="1" t="s">
        <v>18</v>
      </c>
      <c r="B25" s="55" t="s">
        <v>60</v>
      </c>
      <c r="C25" s="56"/>
      <c r="D25" s="1" t="s">
        <v>18</v>
      </c>
      <c r="E25" s="55" t="s">
        <v>61</v>
      </c>
      <c r="F25" s="56"/>
      <c r="G25" s="56"/>
      <c r="H25" s="56"/>
      <c r="K25" s="55" t="s">
        <v>62</v>
      </c>
      <c r="L25" s="55"/>
      <c r="M25" s="55"/>
      <c r="N25" s="56"/>
      <c r="O25" s="56"/>
    </row>
    <row r="26" spans="1:15" x14ac:dyDescent="0.45">
      <c r="B26" s="3" t="s">
        <v>63</v>
      </c>
      <c r="C26" s="75">
        <f>((C34/1000)*C35)+((C38/1000)*C39)</f>
        <v>7000202.0277200006</v>
      </c>
      <c r="E26" s="3" t="s">
        <v>64</v>
      </c>
      <c r="H26" s="423">
        <v>45657</v>
      </c>
      <c r="K26" s="3" t="s">
        <v>65</v>
      </c>
      <c r="O26" s="65">
        <f>SUM(I48:I50)</f>
        <v>26500</v>
      </c>
    </row>
    <row r="27" spans="1:15" x14ac:dyDescent="0.45">
      <c r="B27" s="3" t="s">
        <v>66</v>
      </c>
      <c r="C27" s="416">
        <v>1</v>
      </c>
      <c r="E27" s="3" t="s">
        <v>67</v>
      </c>
      <c r="H27" s="423">
        <v>45291</v>
      </c>
      <c r="I27" s="145"/>
      <c r="K27" s="3" t="s">
        <v>68</v>
      </c>
      <c r="N27" s="486">
        <v>0.01</v>
      </c>
      <c r="O27" s="65">
        <f>N27*C17</f>
        <v>5449.86</v>
      </c>
    </row>
    <row r="28" spans="1:15" x14ac:dyDescent="0.45">
      <c r="B28" s="64" t="s">
        <v>69</v>
      </c>
      <c r="C28" s="75">
        <f>C26/C27</f>
        <v>7000202.0277200006</v>
      </c>
      <c r="E28" s="3" t="s">
        <v>70</v>
      </c>
      <c r="H28" s="423">
        <v>45582</v>
      </c>
      <c r="K28" s="3" t="s">
        <v>71</v>
      </c>
      <c r="N28" s="486">
        <v>0.01</v>
      </c>
      <c r="O28" s="65">
        <f ca="1">N28*C31</f>
        <v>73255.806097617751</v>
      </c>
    </row>
    <row r="29" spans="1:15" ht="14.65" thickBot="1" x14ac:dyDescent="0.5">
      <c r="B29" s="3" t="s">
        <v>72</v>
      </c>
      <c r="C29" s="65">
        <f>C12</f>
        <v>6470030</v>
      </c>
      <c r="E29" s="3" t="s">
        <v>73</v>
      </c>
      <c r="H29" s="3">
        <f>YEAR(H26)</f>
        <v>2024</v>
      </c>
      <c r="K29" s="63" t="s">
        <v>74</v>
      </c>
      <c r="L29" s="63"/>
      <c r="M29" s="63"/>
      <c r="N29" s="59"/>
      <c r="O29" s="73">
        <f ca="1">SUM(O26:O28)</f>
        <v>105205.66609761775</v>
      </c>
    </row>
    <row r="30" spans="1:15" x14ac:dyDescent="0.45">
      <c r="B30" s="57" t="s">
        <v>75</v>
      </c>
      <c r="C30" s="80">
        <f ca="1">C22+C18</f>
        <v>325378.58204177348</v>
      </c>
      <c r="E30" s="3" t="s">
        <v>76</v>
      </c>
      <c r="H30" s="90">
        <f>YEARFRAC(H27,H28)</f>
        <v>0.79722222222222228</v>
      </c>
      <c r="I30" s="90"/>
    </row>
    <row r="31" spans="1:15" ht="14.65" thickBot="1" x14ac:dyDescent="0.5">
      <c r="B31" s="63" t="s">
        <v>77</v>
      </c>
      <c r="C31" s="73">
        <f ca="1">SUM(C28+C30)</f>
        <v>7325580.6097617745</v>
      </c>
      <c r="E31" s="3" t="s">
        <v>78</v>
      </c>
      <c r="H31" s="90">
        <f>1-H30</f>
        <v>0.20277777777777772</v>
      </c>
    </row>
    <row r="33" spans="1:15" ht="14.65" thickBot="1" x14ac:dyDescent="0.5">
      <c r="B33" s="64" t="s">
        <v>79</v>
      </c>
      <c r="E33" s="55" t="s">
        <v>80</v>
      </c>
      <c r="F33" s="55"/>
      <c r="G33" s="62" t="s">
        <v>81</v>
      </c>
      <c r="H33" s="62" t="s">
        <v>82</v>
      </c>
    </row>
    <row r="34" spans="1:15" x14ac:dyDescent="0.45">
      <c r="B34" s="3" t="s">
        <v>83</v>
      </c>
      <c r="C34" s="415">
        <v>149887921</v>
      </c>
      <c r="E34" s="3" t="s">
        <v>84</v>
      </c>
      <c r="G34" s="220">
        <f ca="1">C6</f>
        <v>59.405430075512101</v>
      </c>
      <c r="H34" s="486">
        <v>0.1</v>
      </c>
    </row>
    <row r="35" spans="1:15" x14ac:dyDescent="0.45">
      <c r="B35" s="3" t="s">
        <v>85</v>
      </c>
      <c r="C35" s="424">
        <v>46.5</v>
      </c>
      <c r="E35" s="3" t="s">
        <v>86</v>
      </c>
      <c r="G35" s="511">
        <f>'Comps Part 1'!F55</f>
        <v>14.376613906685868</v>
      </c>
      <c r="H35" s="486">
        <v>0.45</v>
      </c>
    </row>
    <row r="36" spans="1:15" x14ac:dyDescent="0.45">
      <c r="C36" s="417"/>
      <c r="E36" s="3" t="s">
        <v>87</v>
      </c>
      <c r="G36" s="511">
        <f>'Comps Part 1'!F75</f>
        <v>20.310959597974765</v>
      </c>
      <c r="H36" s="486">
        <v>0.45</v>
      </c>
    </row>
    <row r="37" spans="1:15" ht="14.65" thickBot="1" x14ac:dyDescent="0.5">
      <c r="B37" s="64" t="s">
        <v>88</v>
      </c>
      <c r="C37" s="418"/>
      <c r="E37" s="63" t="s">
        <v>89</v>
      </c>
      <c r="F37" s="59"/>
      <c r="G37" s="221">
        <f ca="1">G34*H34+G35*H35+G36*H36</f>
        <v>21.549951084648498</v>
      </c>
      <c r="H37" s="83">
        <f>SUM(H34:H36)</f>
        <v>1</v>
      </c>
    </row>
    <row r="38" spans="1:15" x14ac:dyDescent="0.45">
      <c r="B38" s="3" t="s">
        <v>83</v>
      </c>
      <c r="C38" s="415">
        <v>697402</v>
      </c>
    </row>
    <row r="39" spans="1:15" x14ac:dyDescent="0.45">
      <c r="B39" s="3" t="s">
        <v>85</v>
      </c>
      <c r="C39" s="424">
        <v>43.61</v>
      </c>
      <c r="E39" s="3" t="s">
        <v>90</v>
      </c>
      <c r="H39" s="418">
        <v>365</v>
      </c>
    </row>
    <row r="40" spans="1:15" x14ac:dyDescent="0.45">
      <c r="C40" s="290"/>
      <c r="E40" s="3" t="s">
        <v>91</v>
      </c>
      <c r="H40" s="512">
        <f>'Key Inputs and Drivers'!L47</f>
        <v>0.1</v>
      </c>
    </row>
    <row r="41" spans="1:15" x14ac:dyDescent="0.45">
      <c r="B41" s="3" t="s">
        <v>92</v>
      </c>
      <c r="C41" s="424">
        <v>38.19</v>
      </c>
      <c r="E41" s="3" t="s">
        <v>93</v>
      </c>
      <c r="H41" s="513">
        <f>Model!$S$49</f>
        <v>38778</v>
      </c>
    </row>
    <row r="42" spans="1:15" x14ac:dyDescent="0.45">
      <c r="B42" s="64" t="s">
        <v>94</v>
      </c>
      <c r="C42" s="76">
        <f>C35/C41 - 1</f>
        <v>0.21759622937941869</v>
      </c>
      <c r="E42" s="3" t="s">
        <v>95</v>
      </c>
      <c r="H42" s="416">
        <v>0.02</v>
      </c>
    </row>
    <row r="44" spans="1:15" x14ac:dyDescent="0.45">
      <c r="A44" s="1" t="s">
        <v>18</v>
      </c>
      <c r="B44" s="4" t="s">
        <v>96</v>
      </c>
      <c r="C44" s="4"/>
      <c r="D44" s="4"/>
      <c r="E44" s="4"/>
      <c r="F44" s="4"/>
      <c r="G44" s="4"/>
      <c r="H44" s="4"/>
      <c r="I44" s="4"/>
      <c r="J44" s="4"/>
      <c r="K44" s="4"/>
      <c r="L44" s="4"/>
      <c r="M44" s="4"/>
      <c r="N44" s="4"/>
      <c r="O44" s="4"/>
    </row>
    <row r="45" spans="1:15" x14ac:dyDescent="0.45">
      <c r="M45" s="35"/>
    </row>
    <row r="46" spans="1:15" ht="14.65" thickBot="1" x14ac:dyDescent="0.5">
      <c r="A46" s="1" t="s">
        <v>18</v>
      </c>
      <c r="B46" s="55" t="s">
        <v>97</v>
      </c>
      <c r="C46" s="56"/>
      <c r="D46" s="56"/>
      <c r="E46" s="62" t="s">
        <v>25</v>
      </c>
      <c r="F46" s="62" t="s">
        <v>98</v>
      </c>
      <c r="G46" s="62" t="s">
        <v>99</v>
      </c>
      <c r="H46" s="62" t="s">
        <v>100</v>
      </c>
      <c r="I46" s="62" t="s">
        <v>101</v>
      </c>
      <c r="J46" s="62" t="s">
        <v>102</v>
      </c>
      <c r="K46" s="62" t="s">
        <v>103</v>
      </c>
      <c r="L46" s="62" t="s">
        <v>104</v>
      </c>
      <c r="M46" s="62" t="s">
        <v>105</v>
      </c>
      <c r="N46" s="62" t="s">
        <v>106</v>
      </c>
      <c r="O46" s="62" t="s">
        <v>107</v>
      </c>
    </row>
    <row r="47" spans="1:15" x14ac:dyDescent="0.45">
      <c r="B47" s="3" t="s">
        <v>28</v>
      </c>
      <c r="E47" s="29">
        <f ca="1">H6</f>
        <v>291183.41795822652</v>
      </c>
      <c r="F47" s="286">
        <f ca="1">E47/$E$52</f>
        <v>3.8061233135431402E-2</v>
      </c>
      <c r="G47" s="419" t="s">
        <v>108</v>
      </c>
      <c r="H47" s="419" t="s">
        <v>108</v>
      </c>
      <c r="I47" s="419" t="s">
        <v>108</v>
      </c>
      <c r="J47" s="419" t="s">
        <v>108</v>
      </c>
      <c r="K47" s="419" t="s">
        <v>108</v>
      </c>
      <c r="L47" s="419" t="s">
        <v>108</v>
      </c>
      <c r="M47" s="419" t="s">
        <v>108</v>
      </c>
      <c r="N47" s="419" t="s">
        <v>108</v>
      </c>
      <c r="O47" s="419" t="s">
        <v>108</v>
      </c>
    </row>
    <row r="48" spans="1:15" x14ac:dyDescent="0.45">
      <c r="B48" s="3" t="s">
        <v>31</v>
      </c>
      <c r="E48" s="29">
        <f>H7</f>
        <v>50000</v>
      </c>
      <c r="F48" s="286">
        <f t="shared" ref="F48:F51" ca="1" si="1">E48/$E$52</f>
        <v>6.5356113686548777E-3</v>
      </c>
      <c r="G48" s="290">
        <v>250000</v>
      </c>
      <c r="H48" s="486">
        <v>0.01</v>
      </c>
      <c r="I48" s="65">
        <f>E48*H48</f>
        <v>500</v>
      </c>
      <c r="J48" s="486">
        <v>5.0000000000000001E-3</v>
      </c>
      <c r="K48" s="285" t="s">
        <v>108</v>
      </c>
      <c r="L48" s="422">
        <v>0.05</v>
      </c>
      <c r="M48" s="84" t="s">
        <v>108</v>
      </c>
      <c r="N48" s="84" t="s">
        <v>108</v>
      </c>
      <c r="O48" s="84" t="s">
        <v>108</v>
      </c>
    </row>
    <row r="49" spans="2:15" x14ac:dyDescent="0.45">
      <c r="B49" s="3" t="s">
        <v>34</v>
      </c>
      <c r="E49" s="29">
        <f>H8</f>
        <v>2300000</v>
      </c>
      <c r="F49" s="286">
        <f t="shared" ca="1" si="1"/>
        <v>0.30063812295812437</v>
      </c>
      <c r="G49" s="419" t="s">
        <v>108</v>
      </c>
      <c r="H49" s="486">
        <v>0.01</v>
      </c>
      <c r="I49" s="65">
        <f t="shared" ref="I49:I50" si="2">E49*H49</f>
        <v>23000</v>
      </c>
      <c r="J49" s="421" t="s">
        <v>108</v>
      </c>
      <c r="K49" s="486">
        <v>0.02</v>
      </c>
      <c r="L49" s="422">
        <v>0.05</v>
      </c>
      <c r="M49" s="486">
        <v>0.5</v>
      </c>
      <c r="N49" s="416">
        <f>IF(E50&gt;0,50%,100%)</f>
        <v>0.5</v>
      </c>
      <c r="O49" s="486">
        <v>0.01</v>
      </c>
    </row>
    <row r="50" spans="2:15" x14ac:dyDescent="0.45">
      <c r="B50" s="3" t="s">
        <v>37</v>
      </c>
      <c r="E50" s="29">
        <f>H9</f>
        <v>300000</v>
      </c>
      <c r="F50" s="286">
        <f t="shared" ca="1" si="1"/>
        <v>3.9213668211929266E-2</v>
      </c>
      <c r="G50" s="419" t="s">
        <v>108</v>
      </c>
      <c r="H50" s="486">
        <v>0.01</v>
      </c>
      <c r="I50" s="65">
        <f t="shared" si="2"/>
        <v>3000</v>
      </c>
      <c r="J50" s="486">
        <v>0.01</v>
      </c>
      <c r="K50" s="486">
        <v>0.02</v>
      </c>
      <c r="L50" s="422">
        <v>0.05</v>
      </c>
      <c r="M50" s="486">
        <v>0.5</v>
      </c>
      <c r="N50" s="421">
        <f>IF(E50&gt;0,50%,0%)</f>
        <v>0.5</v>
      </c>
      <c r="O50" s="486">
        <v>0.01</v>
      </c>
    </row>
    <row r="51" spans="2:15" x14ac:dyDescent="0.45">
      <c r="B51" s="3" t="s">
        <v>109</v>
      </c>
      <c r="E51" s="29">
        <f ca="1">H10</f>
        <v>4709210.2758593913</v>
      </c>
      <c r="F51" s="286">
        <f t="shared" ca="1" si="1"/>
        <v>0.61555136432586022</v>
      </c>
      <c r="G51" s="419" t="s">
        <v>108</v>
      </c>
      <c r="H51" s="419" t="s">
        <v>108</v>
      </c>
      <c r="I51" s="419" t="s">
        <v>108</v>
      </c>
      <c r="J51" s="419" t="s">
        <v>108</v>
      </c>
      <c r="K51" s="419" t="s">
        <v>108</v>
      </c>
      <c r="L51" s="419" t="s">
        <v>108</v>
      </c>
      <c r="M51" s="420" t="s">
        <v>108</v>
      </c>
      <c r="N51" s="420" t="s">
        <v>108</v>
      </c>
      <c r="O51" s="420" t="s">
        <v>108</v>
      </c>
    </row>
    <row r="52" spans="2:15" ht="14.65" thickBot="1" x14ac:dyDescent="0.5">
      <c r="B52" s="59" t="s">
        <v>51</v>
      </c>
      <c r="C52" s="59"/>
      <c r="D52" s="59"/>
      <c r="E52" s="82">
        <f ca="1">SUM(E47:E51)</f>
        <v>7650393.6938176174</v>
      </c>
      <c r="F52" s="83">
        <f ca="1">SUM(F47:F51)</f>
        <v>1.0000000000000002</v>
      </c>
      <c r="K52" s="19"/>
      <c r="L52" s="19"/>
      <c r="M52" s="19"/>
      <c r="N52" s="19"/>
      <c r="O52" s="19"/>
    </row>
    <row r="64" spans="2:15" x14ac:dyDescent="0.45">
      <c r="I64" s="3" t="s">
        <v>110</v>
      </c>
    </row>
  </sheetData>
  <mergeCells count="1">
    <mergeCell ref="B3:C3"/>
  </mergeCells>
  <conditionalFormatting sqref="F51">
    <cfRule type="cellIs" dxfId="0" priority="1" operator="lessThan">
      <formula>0.5</formula>
    </cfRule>
  </conditionalFormatting>
  <pageMargins left="0.7" right="0.7" top="0.75" bottom="0.75" header="0.3" footer="0.3"/>
  <pageSetup paperSize="9" orientation="portrait" verticalDpi="0"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D7DBA1-1F39-4353-984E-D9D74D6568F4}">
  <dimension ref="A2:S116"/>
  <sheetViews>
    <sheetView showGridLines="0" zoomScale="76" zoomScaleNormal="85" workbookViewId="0">
      <selection activeCell="B2" sqref="B2"/>
    </sheetView>
  </sheetViews>
  <sheetFormatPr defaultColWidth="20.6640625" defaultRowHeight="14.25" x14ac:dyDescent="0.45"/>
  <cols>
    <col min="1" max="1" width="4.6640625" style="3" customWidth="1"/>
    <col min="2" max="2" width="46.33203125" style="3" bestFit="1" customWidth="1"/>
    <col min="3" max="3" width="24.1328125" style="35" bestFit="1" customWidth="1"/>
    <col min="4" max="16384" width="20.6640625" style="3"/>
  </cols>
  <sheetData>
    <row r="2" spans="1:18" ht="15" customHeight="1" x14ac:dyDescent="0.45">
      <c r="A2" s="1" t="s">
        <v>18</v>
      </c>
      <c r="B2" s="4" t="s">
        <v>111</v>
      </c>
      <c r="C2" s="435"/>
      <c r="D2" s="4"/>
      <c r="E2" s="4"/>
      <c r="F2" s="4"/>
      <c r="G2" s="4"/>
      <c r="H2" s="4"/>
      <c r="I2" s="4"/>
      <c r="J2" s="4"/>
      <c r="K2" s="4"/>
      <c r="L2" s="4"/>
      <c r="M2" s="4"/>
      <c r="N2" s="4"/>
      <c r="O2" s="4"/>
      <c r="P2" s="4"/>
      <c r="Q2" s="4"/>
      <c r="R2" s="4"/>
    </row>
    <row r="3" spans="1:18" x14ac:dyDescent="0.45">
      <c r="B3" s="617" t="s">
        <v>21</v>
      </c>
      <c r="C3" s="617"/>
    </row>
    <row r="4" spans="1:18" ht="14.65" thickBot="1" x14ac:dyDescent="0.5">
      <c r="G4" s="427" t="s">
        <v>112</v>
      </c>
      <c r="H4" s="427" t="s">
        <v>113</v>
      </c>
      <c r="I4" s="427" t="s">
        <v>114</v>
      </c>
      <c r="J4" s="427" t="s">
        <v>115</v>
      </c>
      <c r="K4" s="427" t="s">
        <v>116</v>
      </c>
      <c r="L4" s="101" t="s">
        <v>117</v>
      </c>
      <c r="M4" s="102">
        <v>2025</v>
      </c>
      <c r="N4" s="102">
        <f>M4+1</f>
        <v>2026</v>
      </c>
      <c r="O4" s="102">
        <f t="shared" ref="O4:P4" si="0">N4+1</f>
        <v>2027</v>
      </c>
      <c r="P4" s="102">
        <f t="shared" si="0"/>
        <v>2028</v>
      </c>
      <c r="Q4" s="102">
        <f>P4+1</f>
        <v>2029</v>
      </c>
      <c r="R4" s="102">
        <f>Q4+1</f>
        <v>2030</v>
      </c>
    </row>
    <row r="5" spans="1:18" x14ac:dyDescent="0.45">
      <c r="B5" s="64" t="s">
        <v>118</v>
      </c>
      <c r="C5" s="35">
        <v>2</v>
      </c>
      <c r="F5" s="64" t="s">
        <v>119</v>
      </c>
      <c r="G5" s="425">
        <v>43830</v>
      </c>
      <c r="H5" s="425">
        <v>44196</v>
      </c>
      <c r="I5" s="425">
        <v>44561</v>
      </c>
      <c r="J5" s="425">
        <v>44926</v>
      </c>
      <c r="K5" s="425">
        <v>45291</v>
      </c>
      <c r="L5" s="425">
        <v>45657</v>
      </c>
      <c r="M5" s="425">
        <v>46022</v>
      </c>
      <c r="N5" s="425">
        <v>46387</v>
      </c>
      <c r="O5" s="425">
        <v>46752</v>
      </c>
      <c r="P5" s="425">
        <v>47118</v>
      </c>
      <c r="Q5" s="425">
        <v>47483</v>
      </c>
      <c r="R5" s="425">
        <v>47848</v>
      </c>
    </row>
    <row r="6" spans="1:18" x14ac:dyDescent="0.45">
      <c r="F6" s="64" t="s">
        <v>120</v>
      </c>
      <c r="G6" s="418">
        <v>365</v>
      </c>
      <c r="H6" s="288">
        <f>G6</f>
        <v>365</v>
      </c>
      <c r="I6" s="288">
        <f t="shared" ref="I6:R6" si="1">H6</f>
        <v>365</v>
      </c>
      <c r="J6" s="288">
        <f t="shared" si="1"/>
        <v>365</v>
      </c>
      <c r="K6" s="288">
        <f t="shared" si="1"/>
        <v>365</v>
      </c>
      <c r="L6" s="288">
        <f t="shared" si="1"/>
        <v>365</v>
      </c>
      <c r="M6" s="288">
        <f t="shared" si="1"/>
        <v>365</v>
      </c>
      <c r="N6" s="288">
        <f t="shared" si="1"/>
        <v>365</v>
      </c>
      <c r="O6" s="288">
        <f t="shared" si="1"/>
        <v>365</v>
      </c>
      <c r="P6" s="288">
        <f t="shared" si="1"/>
        <v>365</v>
      </c>
      <c r="Q6" s="288">
        <f t="shared" si="1"/>
        <v>365</v>
      </c>
      <c r="R6" s="288">
        <f t="shared" si="1"/>
        <v>365</v>
      </c>
    </row>
    <row r="7" spans="1:18" x14ac:dyDescent="0.45">
      <c r="B7" s="125" t="s">
        <v>121</v>
      </c>
      <c r="C7" s="441">
        <v>1</v>
      </c>
      <c r="F7" s="64" t="s">
        <v>122</v>
      </c>
      <c r="G7" s="439">
        <v>1</v>
      </c>
      <c r="H7" s="440">
        <f>YEARFRAC(G5,H5)</f>
        <v>1</v>
      </c>
      <c r="I7" s="440">
        <f t="shared" ref="I7:R7" si="2">YEARFRAC(H5,I5)</f>
        <v>1</v>
      </c>
      <c r="J7" s="440">
        <f t="shared" si="2"/>
        <v>1</v>
      </c>
      <c r="K7" s="440">
        <f t="shared" si="2"/>
        <v>1</v>
      </c>
      <c r="L7" s="440">
        <f t="shared" si="2"/>
        <v>1</v>
      </c>
      <c r="M7" s="440">
        <f t="shared" si="2"/>
        <v>1</v>
      </c>
      <c r="N7" s="440">
        <f t="shared" si="2"/>
        <v>1</v>
      </c>
      <c r="O7" s="440">
        <f t="shared" si="2"/>
        <v>1</v>
      </c>
      <c r="P7" s="440">
        <f t="shared" si="2"/>
        <v>1</v>
      </c>
      <c r="Q7" s="440">
        <f t="shared" si="2"/>
        <v>1</v>
      </c>
      <c r="R7" s="440">
        <f t="shared" si="2"/>
        <v>1</v>
      </c>
    </row>
    <row r="8" spans="1:18" x14ac:dyDescent="0.45">
      <c r="B8" s="64"/>
      <c r="F8" s="64" t="s">
        <v>123</v>
      </c>
      <c r="G8" s="426" t="s">
        <v>124</v>
      </c>
      <c r="H8" s="426" t="s">
        <v>124</v>
      </c>
      <c r="I8" s="426" t="s">
        <v>124</v>
      </c>
      <c r="J8" s="426" t="s">
        <v>124</v>
      </c>
      <c r="K8" s="426" t="s">
        <v>124</v>
      </c>
      <c r="L8" s="426" t="s">
        <v>124</v>
      </c>
      <c r="M8" s="426" t="s">
        <v>124</v>
      </c>
      <c r="N8" s="426" t="s">
        <v>124</v>
      </c>
      <c r="O8" s="426" t="s">
        <v>124</v>
      </c>
      <c r="P8" s="426" t="s">
        <v>124</v>
      </c>
      <c r="Q8" s="426" t="s">
        <v>124</v>
      </c>
      <c r="R8" s="426" t="s">
        <v>124</v>
      </c>
    </row>
    <row r="9" spans="1:18" x14ac:dyDescent="0.45">
      <c r="A9" s="3" t="s">
        <v>110</v>
      </c>
    </row>
    <row r="10" spans="1:18" ht="15" customHeight="1" x14ac:dyDescent="0.45">
      <c r="A10" s="1" t="s">
        <v>18</v>
      </c>
      <c r="B10" s="4" t="s">
        <v>125</v>
      </c>
      <c r="C10" s="435"/>
      <c r="D10" s="4"/>
      <c r="E10" s="4"/>
      <c r="F10" s="4"/>
      <c r="G10" s="4"/>
      <c r="H10" s="4"/>
      <c r="I10" s="4"/>
      <c r="J10" s="4"/>
      <c r="K10" s="4"/>
      <c r="L10" s="4"/>
      <c r="M10" s="4"/>
      <c r="N10" s="4"/>
      <c r="O10" s="4"/>
      <c r="P10" s="4"/>
      <c r="Q10" s="4"/>
      <c r="R10" s="4"/>
    </row>
    <row r="11" spans="1:18" x14ac:dyDescent="0.45">
      <c r="F11" s="578" t="s">
        <v>1286</v>
      </c>
    </row>
    <row r="12" spans="1:18" x14ac:dyDescent="0.45">
      <c r="B12" s="64" t="s">
        <v>126</v>
      </c>
      <c r="G12" s="442" t="str">
        <f>Model!G179</f>
        <v>-</v>
      </c>
      <c r="H12" s="443">
        <f>Model!H179</f>
        <v>5.6818181818181213E-3</v>
      </c>
      <c r="I12" s="443">
        <f>Model!I179</f>
        <v>5.6497175141242861E-2</v>
      </c>
      <c r="J12" s="443">
        <f>Model!J179</f>
        <v>2.1390374331550888E-2</v>
      </c>
      <c r="K12" s="444">
        <f>Model!K179</f>
        <v>0.10471204188481686</v>
      </c>
      <c r="L12" s="494" cm="1">
        <f t="array" ref="L12">INDEX(L13:L15,$C$5)</f>
        <v>0.08</v>
      </c>
      <c r="M12" s="494" cm="1">
        <f t="array" ref="M12">INDEX(M13:M15,$C$5)</f>
        <v>8.5000000000000006E-2</v>
      </c>
      <c r="N12" s="494" cm="1">
        <f t="array" ref="N12">INDEX(N13:N15,$C$5)</f>
        <v>0.09</v>
      </c>
      <c r="O12" s="494" cm="1">
        <f t="array" ref="O12">INDEX(O13:O15,$C$5)</f>
        <v>9.5000000000000001E-2</v>
      </c>
      <c r="P12" s="494" cm="1">
        <f t="array" ref="P12">INDEX(P13:P15,$C$5)</f>
        <v>0.1</v>
      </c>
      <c r="Q12" s="494" cm="1">
        <f t="array" ref="Q12">INDEX(Q13:Q15,$C$5)</f>
        <v>0.10500000000000001</v>
      </c>
      <c r="R12" s="495" cm="1">
        <f t="array" ref="R12">INDEX(R13:R15,$C$5)</f>
        <v>0.11000000000000001</v>
      </c>
    </row>
    <row r="13" spans="1:18" x14ac:dyDescent="0.45">
      <c r="B13" s="57" t="s">
        <v>127</v>
      </c>
      <c r="G13" s="226"/>
      <c r="H13" s="225"/>
      <c r="I13" s="225"/>
      <c r="J13" s="225"/>
      <c r="K13" s="225"/>
      <c r="L13" s="445">
        <v>0.09</v>
      </c>
      <c r="M13" s="445">
        <v>0.1</v>
      </c>
      <c r="N13" s="445">
        <v>0.11</v>
      </c>
      <c r="O13" s="445">
        <v>0.12</v>
      </c>
      <c r="P13" s="445">
        <v>0.125</v>
      </c>
      <c r="Q13" s="445">
        <v>0.13</v>
      </c>
      <c r="R13" s="446">
        <v>0.13500000000000001</v>
      </c>
    </row>
    <row r="14" spans="1:18" x14ac:dyDescent="0.45">
      <c r="B14" s="57" t="s">
        <v>128</v>
      </c>
      <c r="G14" s="226"/>
      <c r="H14" s="225"/>
      <c r="I14" s="225"/>
      <c r="J14" s="225"/>
      <c r="K14" s="225"/>
      <c r="L14" s="445">
        <v>0.08</v>
      </c>
      <c r="M14" s="445">
        <v>8.5000000000000006E-2</v>
      </c>
      <c r="N14" s="445">
        <v>0.09</v>
      </c>
      <c r="O14" s="445">
        <v>9.5000000000000001E-2</v>
      </c>
      <c r="P14" s="445">
        <v>0.1</v>
      </c>
      <c r="Q14" s="445">
        <v>0.10500000000000001</v>
      </c>
      <c r="R14" s="446">
        <f>Q14+0.5%</f>
        <v>0.11000000000000001</v>
      </c>
    </row>
    <row r="15" spans="1:18" x14ac:dyDescent="0.45">
      <c r="B15" s="57" t="s">
        <v>129</v>
      </c>
      <c r="G15" s="227"/>
      <c r="H15" s="228"/>
      <c r="I15" s="228"/>
      <c r="J15" s="228"/>
      <c r="K15" s="228"/>
      <c r="L15" s="447">
        <v>0.08</v>
      </c>
      <c r="M15" s="447">
        <v>8.5000000000000006E-2</v>
      </c>
      <c r="N15" s="447">
        <v>7.0000000000000007E-2</v>
      </c>
      <c r="O15" s="447">
        <v>6.7000000000000004E-2</v>
      </c>
      <c r="P15" s="447">
        <v>6.5000000000000002E-2</v>
      </c>
      <c r="Q15" s="447">
        <v>6.2E-2</v>
      </c>
      <c r="R15" s="447">
        <v>5.8999999999999997E-2</v>
      </c>
    </row>
    <row r="17" spans="1:19" x14ac:dyDescent="0.45">
      <c r="B17" s="64" t="s">
        <v>130</v>
      </c>
      <c r="G17" s="442" t="str">
        <f>Model!G187</f>
        <v>-</v>
      </c>
      <c r="H17" s="443">
        <f>Model!H187</f>
        <v>0.5714285714285714</v>
      </c>
      <c r="I17" s="443">
        <f>Model!I187</f>
        <v>0.45454545454545459</v>
      </c>
      <c r="J17" s="443">
        <f>Model!J187</f>
        <v>0.125</v>
      </c>
      <c r="K17" s="444">
        <f>Model!K187</f>
        <v>0.11111111111111116</v>
      </c>
      <c r="L17" s="494" cm="1">
        <f t="array" ref="L17">INDEX(L19:L21,$C$5)</f>
        <v>0.38546666666666674</v>
      </c>
      <c r="M17" s="494" cm="1">
        <f t="array" ref="M17">INDEX(M19:M21,$C$5)</f>
        <v>0.34405555555555561</v>
      </c>
      <c r="N17" s="494" cm="1">
        <f t="array" ref="N17">INDEX(N19:N21,$C$5)</f>
        <v>0.30264444444444449</v>
      </c>
      <c r="O17" s="494" cm="1">
        <f t="array" ref="O17">INDEX(O19:O21,$C$5)</f>
        <v>0.26123333333333337</v>
      </c>
      <c r="P17" s="494" cm="1">
        <f t="array" ref="P17">INDEX(P19:P21,$C$5)</f>
        <v>0.21982222222222225</v>
      </c>
      <c r="Q17" s="494" cm="1">
        <f t="array" ref="Q17">INDEX(Q19:Q21,$C$5)</f>
        <v>0.17841111111111113</v>
      </c>
      <c r="R17" s="495" cm="1">
        <f t="array" ref="R17">INDEX(R19:R21,$C$5)</f>
        <v>0.13700000000000001</v>
      </c>
    </row>
    <row r="18" spans="1:19" hidden="1" x14ac:dyDescent="0.45">
      <c r="B18" s="3" t="s">
        <v>131</v>
      </c>
      <c r="G18" s="449"/>
      <c r="H18" s="450"/>
      <c r="I18" s="450">
        <f>I17/SUM($I$17:$K$17)</f>
        <v>0.65813528336380256</v>
      </c>
      <c r="J18" s="450">
        <f>J17/SUM($I$17:$K$17)</f>
        <v>0.18098720292504569</v>
      </c>
      <c r="K18" s="450">
        <f>K17/SUM($I$17:$K$17)</f>
        <v>0.16087751371115178</v>
      </c>
      <c r="L18" s="453"/>
      <c r="M18" s="454"/>
      <c r="N18" s="454"/>
      <c r="O18" s="454"/>
      <c r="P18" s="454"/>
      <c r="Q18" s="454"/>
      <c r="R18" s="455"/>
    </row>
    <row r="19" spans="1:19" x14ac:dyDescent="0.45">
      <c r="B19" s="57" t="s">
        <v>127</v>
      </c>
      <c r="G19" s="449"/>
      <c r="H19" s="450"/>
      <c r="I19" s="450"/>
      <c r="J19" s="450"/>
      <c r="K19" s="450"/>
      <c r="L19" s="445">
        <v>0.4</v>
      </c>
      <c r="M19" s="456">
        <f>($R$19-$L$19)/ 6 + L19</f>
        <v>0.36833333333333335</v>
      </c>
      <c r="N19" s="456">
        <f t="shared" ref="N19:Q19" si="3">($R$19-$L$19)/ 6 + M19</f>
        <v>0.33666666666666667</v>
      </c>
      <c r="O19" s="456">
        <f t="shared" si="3"/>
        <v>0.30499999999999999</v>
      </c>
      <c r="P19" s="456">
        <f t="shared" si="3"/>
        <v>0.27333333333333332</v>
      </c>
      <c r="Q19" s="456">
        <f t="shared" si="3"/>
        <v>0.24166666666666664</v>
      </c>
      <c r="R19" s="446">
        <v>0.21</v>
      </c>
    </row>
    <row r="20" spans="1:19" x14ac:dyDescent="0.45">
      <c r="B20" s="57" t="s">
        <v>128</v>
      </c>
      <c r="G20" s="449"/>
      <c r="H20" s="450"/>
      <c r="I20" s="450"/>
      <c r="J20" s="450"/>
      <c r="K20" s="450"/>
      <c r="L20" s="445">
        <v>0.38546666666666674</v>
      </c>
      <c r="M20" s="456">
        <f>($R$20-$L$20)/6 + L20</f>
        <v>0.34405555555555561</v>
      </c>
      <c r="N20" s="456">
        <f t="shared" ref="N20:Q20" si="4">($R$20-$L$20)/6 + M20</f>
        <v>0.30264444444444449</v>
      </c>
      <c r="O20" s="456">
        <f t="shared" si="4"/>
        <v>0.26123333333333337</v>
      </c>
      <c r="P20" s="456">
        <f t="shared" si="4"/>
        <v>0.21982222222222225</v>
      </c>
      <c r="Q20" s="456">
        <f t="shared" si="4"/>
        <v>0.17841111111111113</v>
      </c>
      <c r="R20" s="445">
        <v>0.13700000000000001</v>
      </c>
    </row>
    <row r="21" spans="1:19" x14ac:dyDescent="0.45">
      <c r="B21" s="57" t="s">
        <v>129</v>
      </c>
      <c r="G21" s="451"/>
      <c r="H21" s="452"/>
      <c r="I21" s="452"/>
      <c r="J21" s="452"/>
      <c r="K21" s="452"/>
      <c r="L21" s="447">
        <v>0.3</v>
      </c>
      <c r="M21" s="457">
        <f>($R$21-$L$21)/6 + L21</f>
        <v>0.26033333333333331</v>
      </c>
      <c r="N21" s="457">
        <f t="shared" ref="N21:Q21" si="5">($R$21-$L$21)/6 + M21</f>
        <v>0.22066666666666665</v>
      </c>
      <c r="O21" s="457">
        <f t="shared" si="5"/>
        <v>0.18099999999999999</v>
      </c>
      <c r="P21" s="457">
        <f t="shared" si="5"/>
        <v>0.14133333333333334</v>
      </c>
      <c r="Q21" s="457">
        <f t="shared" si="5"/>
        <v>0.10166666666666668</v>
      </c>
      <c r="R21" s="458">
        <v>6.2E-2</v>
      </c>
    </row>
    <row r="22" spans="1:19" x14ac:dyDescent="0.45">
      <c r="G22" s="150"/>
      <c r="H22" s="150"/>
      <c r="I22" s="150"/>
      <c r="J22" s="150"/>
      <c r="K22" s="150"/>
      <c r="L22" s="150"/>
      <c r="M22" s="150"/>
      <c r="N22" s="150"/>
      <c r="O22" s="150"/>
      <c r="P22" s="150"/>
      <c r="Q22" s="150"/>
      <c r="R22" s="150"/>
    </row>
    <row r="23" spans="1:19" x14ac:dyDescent="0.45">
      <c r="B23" s="64" t="s">
        <v>132</v>
      </c>
      <c r="G23" s="442">
        <f>Model!G192</f>
        <v>1.2542087542087541</v>
      </c>
      <c r="H23" s="443">
        <f>Model!H192</f>
        <v>1.2281879194630871</v>
      </c>
      <c r="I23" s="443">
        <f>Model!I192</f>
        <v>1.1176148796498906</v>
      </c>
      <c r="J23" s="443">
        <f>Model!J192</f>
        <v>1.0288790993636809</v>
      </c>
      <c r="K23" s="444">
        <f>Model!K192</f>
        <v>1.101569933396765</v>
      </c>
      <c r="L23" s="494" cm="1">
        <f t="array" ref="L23">INDEX(L24:L26,$C$5)</f>
        <v>0.99</v>
      </c>
      <c r="M23" s="494" cm="1">
        <f t="array" ref="M23">INDEX(M24:M26,$C$5)</f>
        <v>1</v>
      </c>
      <c r="N23" s="494" cm="1">
        <f t="array" ref="N23">INDEX(N24:N26,$C$5)</f>
        <v>1.01</v>
      </c>
      <c r="O23" s="494" cm="1">
        <f t="array" ref="O23">INDEX(O24:O26,$C$5)</f>
        <v>1.02</v>
      </c>
      <c r="P23" s="494" cm="1">
        <f t="array" ref="P23">INDEX(P24:P26,$C$5)</f>
        <v>1.02</v>
      </c>
      <c r="Q23" s="494" cm="1">
        <f t="array" ref="Q23">INDEX(Q24:Q26,$C$5)</f>
        <v>1.03</v>
      </c>
      <c r="R23" s="495" cm="1">
        <f t="array" ref="R23">INDEX(R24:R26,$C$5)</f>
        <v>1.04</v>
      </c>
    </row>
    <row r="24" spans="1:19" x14ac:dyDescent="0.45">
      <c r="B24" s="57" t="s">
        <v>127</v>
      </c>
      <c r="G24" s="449"/>
      <c r="H24" s="450"/>
      <c r="I24" s="450"/>
      <c r="J24" s="450"/>
      <c r="K24" s="450"/>
      <c r="L24" s="445">
        <v>1</v>
      </c>
      <c r="M24" s="445">
        <v>1.01</v>
      </c>
      <c r="N24" s="445">
        <v>1.02</v>
      </c>
      <c r="O24" s="445">
        <v>1.03</v>
      </c>
      <c r="P24" s="445">
        <v>1.04</v>
      </c>
      <c r="Q24" s="445">
        <v>1.05</v>
      </c>
      <c r="R24" s="446">
        <v>1.06</v>
      </c>
    </row>
    <row r="25" spans="1:19" x14ac:dyDescent="0.45">
      <c r="B25" s="57" t="s">
        <v>128</v>
      </c>
      <c r="G25" s="449"/>
      <c r="H25" s="450"/>
      <c r="I25" s="450"/>
      <c r="J25" s="450"/>
      <c r="K25" s="450"/>
      <c r="L25" s="445">
        <v>0.99</v>
      </c>
      <c r="M25" s="445">
        <v>1</v>
      </c>
      <c r="N25" s="445">
        <v>1.01</v>
      </c>
      <c r="O25" s="445">
        <v>1.02</v>
      </c>
      <c r="P25" s="445">
        <v>1.02</v>
      </c>
      <c r="Q25" s="445">
        <v>1.03</v>
      </c>
      <c r="R25" s="446">
        <v>1.04</v>
      </c>
    </row>
    <row r="26" spans="1:19" x14ac:dyDescent="0.45">
      <c r="B26" s="57" t="s">
        <v>129</v>
      </c>
      <c r="G26" s="451"/>
      <c r="H26" s="452"/>
      <c r="I26" s="452"/>
      <c r="J26" s="452"/>
      <c r="K26" s="452"/>
      <c r="L26" s="459">
        <v>0.99</v>
      </c>
      <c r="M26" s="459">
        <v>0.99</v>
      </c>
      <c r="N26" s="459">
        <v>1</v>
      </c>
      <c r="O26" s="459">
        <v>1</v>
      </c>
      <c r="P26" s="459">
        <v>1.01</v>
      </c>
      <c r="Q26" s="459">
        <v>1.01</v>
      </c>
      <c r="R26" s="460">
        <v>1.02</v>
      </c>
    </row>
    <row r="27" spans="1:19" x14ac:dyDescent="0.45">
      <c r="C27" s="137"/>
      <c r="G27" s="138"/>
      <c r="H27" s="138"/>
      <c r="I27" s="138"/>
      <c r="J27" s="138"/>
      <c r="K27" s="140"/>
      <c r="L27" s="140"/>
      <c r="M27" s="140"/>
      <c r="N27" s="140"/>
      <c r="O27" s="140"/>
      <c r="P27" s="140"/>
      <c r="Q27" s="139"/>
    </row>
    <row r="28" spans="1:19" ht="15" customHeight="1" x14ac:dyDescent="0.45">
      <c r="A28" s="1" t="s">
        <v>18</v>
      </c>
      <c r="B28" s="4" t="s">
        <v>133</v>
      </c>
      <c r="C28" s="435"/>
      <c r="D28" s="4"/>
      <c r="E28" s="4"/>
      <c r="F28" s="4"/>
      <c r="G28" s="4"/>
      <c r="H28" s="4"/>
      <c r="I28" s="4"/>
      <c r="J28" s="4"/>
      <c r="K28" s="4"/>
      <c r="L28" s="4"/>
      <c r="M28" s="4"/>
      <c r="N28" s="4"/>
      <c r="O28" s="4"/>
      <c r="P28" s="4"/>
      <c r="Q28" s="4"/>
      <c r="R28" s="4"/>
    </row>
    <row r="29" spans="1:19" x14ac:dyDescent="0.45">
      <c r="C29" s="436"/>
      <c r="G29" s="138"/>
      <c r="H29" s="138"/>
      <c r="I29" s="138"/>
      <c r="J29" s="138"/>
      <c r="K29" s="139"/>
      <c r="L29" s="139"/>
      <c r="M29" s="139"/>
      <c r="N29" s="139"/>
      <c r="O29" s="139"/>
      <c r="P29" s="140"/>
      <c r="Q29" s="139"/>
    </row>
    <row r="30" spans="1:19" x14ac:dyDescent="0.45">
      <c r="B30" s="64" t="s">
        <v>134</v>
      </c>
      <c r="G30" s="442">
        <f>Model!G209</f>
        <v>0.16897334920402435</v>
      </c>
      <c r="H30" s="443">
        <f>Model!H209</f>
        <v>0.15831467168102983</v>
      </c>
      <c r="I30" s="443">
        <f>Model!I209</f>
        <v>0.16151130429902633</v>
      </c>
      <c r="J30" s="443">
        <f>Model!J209</f>
        <v>0.1760783508579285</v>
      </c>
      <c r="K30" s="444">
        <f>Model!K209</f>
        <v>0.20499122820881605</v>
      </c>
      <c r="L30" s="494" cm="1">
        <f t="array" ref="L30">INDEX(L31:L33,$C$5)</f>
        <v>0.25</v>
      </c>
      <c r="M30" s="494" cm="1">
        <f t="array" ref="M30">INDEX(M31:M33,$C$5)</f>
        <v>0.23914285714285713</v>
      </c>
      <c r="N30" s="494" cm="1">
        <f t="array" ref="N30">INDEX(N31:N33,$C$5)</f>
        <v>0.22828571428571426</v>
      </c>
      <c r="O30" s="494" cm="1">
        <f t="array" ref="O30">INDEX(O31:O33,$C$5)</f>
        <v>0.21742857142857139</v>
      </c>
      <c r="P30" s="494" cm="1">
        <f t="array" ref="P30">INDEX(P31:P33,$C$5)</f>
        <v>0.20657142857142852</v>
      </c>
      <c r="Q30" s="494" cm="1">
        <f t="array" ref="Q30">INDEX(Q31:Q33,$C$5)</f>
        <v>0.19571428571428565</v>
      </c>
      <c r="R30" s="495" cm="1">
        <f t="array" ref="R30">INDEX(R31:R33,$C$5)</f>
        <v>0.17399999999999999</v>
      </c>
    </row>
    <row r="31" spans="1:19" x14ac:dyDescent="0.45">
      <c r="B31" s="57" t="s">
        <v>135</v>
      </c>
      <c r="F31" s="229"/>
      <c r="G31" s="449"/>
      <c r="H31" s="450"/>
      <c r="I31" s="450"/>
      <c r="J31" s="450"/>
      <c r="K31" s="450"/>
      <c r="L31" s="445">
        <v>0.23300000000000001</v>
      </c>
      <c r="M31" s="454">
        <f>($R$31-$L$31)/6 + L31</f>
        <v>0.2225</v>
      </c>
      <c r="N31" s="454">
        <f>($R$31-$L$31)/6 + M31</f>
        <v>0.21199999999999999</v>
      </c>
      <c r="O31" s="454">
        <f>($R$31-$L$31)/6 + N31</f>
        <v>0.20149999999999998</v>
      </c>
      <c r="P31" s="454">
        <f>($R$31-$L$31)/6 + O31</f>
        <v>0.19099999999999998</v>
      </c>
      <c r="Q31" s="454">
        <f>($R$31-$L$31)/6 + P31</f>
        <v>0.18049999999999997</v>
      </c>
      <c r="R31" s="446">
        <v>0.17</v>
      </c>
    </row>
    <row r="32" spans="1:19" x14ac:dyDescent="0.45">
      <c r="B32" s="57" t="s">
        <v>136</v>
      </c>
      <c r="F32" s="229"/>
      <c r="G32" s="449"/>
      <c r="H32" s="450"/>
      <c r="I32" s="450"/>
      <c r="J32" s="450"/>
      <c r="K32" s="450"/>
      <c r="L32" s="445">
        <v>0.25</v>
      </c>
      <c r="M32" s="456">
        <f>(($R$32-$L$32)/7)+L32</f>
        <v>0.23914285714285713</v>
      </c>
      <c r="N32" s="456">
        <f>(($R$32-$L$32)/7)+M32</f>
        <v>0.22828571428571426</v>
      </c>
      <c r="O32" s="456">
        <f>(($R$32-$L$32)/7)+N32</f>
        <v>0.21742857142857139</v>
      </c>
      <c r="P32" s="456">
        <f>(($R$32-$L$32)/7)+O32</f>
        <v>0.20657142857142852</v>
      </c>
      <c r="Q32" s="456">
        <f>(($R$32-$L$32)/7)+P32</f>
        <v>0.19571428571428565</v>
      </c>
      <c r="R32" s="446">
        <v>0.17399999999999999</v>
      </c>
      <c r="S32" s="150"/>
    </row>
    <row r="33" spans="2:18" x14ac:dyDescent="0.45">
      <c r="B33" s="57" t="s">
        <v>137</v>
      </c>
      <c r="G33" s="451"/>
      <c r="H33" s="452"/>
      <c r="I33" s="452"/>
      <c r="J33" s="452"/>
      <c r="K33" s="452"/>
      <c r="L33" s="459">
        <v>0.27</v>
      </c>
      <c r="M33" s="462">
        <f>($R$33-$L$33)/6 + L33</f>
        <v>0.25666666666666671</v>
      </c>
      <c r="N33" s="462">
        <f>($R$33-$L$33)/6 + M33</f>
        <v>0.24333333333333337</v>
      </c>
      <c r="O33" s="462">
        <f>($R$33-$L$33)/6 + N33</f>
        <v>0.23000000000000004</v>
      </c>
      <c r="P33" s="462">
        <f>($R$33-$L$33)/6 + O33</f>
        <v>0.2166666666666667</v>
      </c>
      <c r="Q33" s="462">
        <f>($R$33-$L$33)/6 + P33</f>
        <v>0.20333333333333337</v>
      </c>
      <c r="R33" s="460">
        <v>0.19</v>
      </c>
    </row>
    <row r="34" spans="2:18" x14ac:dyDescent="0.45">
      <c r="G34" s="150"/>
      <c r="H34" s="150"/>
      <c r="I34" s="150"/>
      <c r="J34" s="150"/>
      <c r="K34" s="461"/>
      <c r="L34" s="461"/>
      <c r="M34" s="461"/>
      <c r="N34" s="461"/>
      <c r="O34" s="461"/>
      <c r="P34" s="454"/>
      <c r="Q34" s="461"/>
      <c r="R34" s="150"/>
    </row>
    <row r="35" spans="2:18" x14ac:dyDescent="0.45">
      <c r="B35" s="64" t="s">
        <v>138</v>
      </c>
      <c r="G35" s="442">
        <f>Model!G213</f>
        <v>0.48242499757607515</v>
      </c>
      <c r="H35" s="443">
        <f>Model!H213</f>
        <v>0.50661918476887191</v>
      </c>
      <c r="I35" s="443">
        <f>Model!I213</f>
        <v>0.90290266543203268</v>
      </c>
      <c r="J35" s="443">
        <f>Model!J213</f>
        <v>0.54635097788625242</v>
      </c>
      <c r="K35" s="444">
        <f>Model!K213</f>
        <v>0.47306427905359483</v>
      </c>
      <c r="L35" s="494" cm="1">
        <f t="array" ref="L35">INDEX(L36:L38,$C$5)</f>
        <v>0.45</v>
      </c>
      <c r="M35" s="494" cm="1">
        <f t="array" ref="M35">INDEX(M36:M38,$C$5)</f>
        <v>0.43333333333333335</v>
      </c>
      <c r="N35" s="494" cm="1">
        <f t="array" ref="N35">INDEX(N36:N38,$C$5)</f>
        <v>0.41666666666666669</v>
      </c>
      <c r="O35" s="494" cm="1">
        <f t="array" ref="O35">INDEX(O36:O38,$C$5)</f>
        <v>0.4</v>
      </c>
      <c r="P35" s="494" cm="1">
        <f t="array" ref="P35">INDEX(P36:P38,$C$5)</f>
        <v>0.38333333333333336</v>
      </c>
      <c r="Q35" s="494" cm="1">
        <f t="array" ref="Q35">INDEX(Q36:Q38,$C$5)</f>
        <v>0.3666666666666667</v>
      </c>
      <c r="R35" s="495" cm="1">
        <f t="array" ref="R35">INDEX(R36:R38,$C$5)</f>
        <v>0.35</v>
      </c>
    </row>
    <row r="36" spans="2:18" x14ac:dyDescent="0.45">
      <c r="B36" s="57" t="s">
        <v>135</v>
      </c>
      <c r="G36" s="449"/>
      <c r="H36" s="450"/>
      <c r="I36" s="450"/>
      <c r="J36" s="450"/>
      <c r="K36" s="450"/>
      <c r="L36" s="445">
        <v>0.4</v>
      </c>
      <c r="M36" s="454">
        <f>($R$36-$L$36)/6 + L36</f>
        <v>0.38333333333333336</v>
      </c>
      <c r="N36" s="454">
        <f>($R$36-$L$36)/6 + M36</f>
        <v>0.3666666666666667</v>
      </c>
      <c r="O36" s="454">
        <f>($R$36-$L$36)/6 + N36</f>
        <v>0.35000000000000003</v>
      </c>
      <c r="P36" s="454">
        <f>($R$36-$L$36)/6 + O36</f>
        <v>0.33333333333333337</v>
      </c>
      <c r="Q36" s="454">
        <f>($R$36-$L$36)/6 + P36</f>
        <v>0.31666666666666671</v>
      </c>
      <c r="R36" s="446">
        <v>0.3</v>
      </c>
    </row>
    <row r="37" spans="2:18" x14ac:dyDescent="0.45">
      <c r="B37" s="57" t="s">
        <v>136</v>
      </c>
      <c r="F37" s="229"/>
      <c r="G37" s="449"/>
      <c r="H37" s="450"/>
      <c r="I37" s="450"/>
      <c r="J37" s="450"/>
      <c r="K37" s="450"/>
      <c r="L37" s="445">
        <v>0.45</v>
      </c>
      <c r="M37" s="456">
        <f>($R$37-$L$37)/6 + L37</f>
        <v>0.43333333333333335</v>
      </c>
      <c r="N37" s="456">
        <f>($R$37-$L$37)/6 + M37</f>
        <v>0.41666666666666669</v>
      </c>
      <c r="O37" s="456">
        <f>($R$37-$L$37)/6 + N37</f>
        <v>0.4</v>
      </c>
      <c r="P37" s="456">
        <f>($R$37-$L$37)/6 + O37</f>
        <v>0.38333333333333336</v>
      </c>
      <c r="Q37" s="456">
        <f>($R$37-$L$37)/6 + P37</f>
        <v>0.3666666666666667</v>
      </c>
      <c r="R37" s="445">
        <v>0.35</v>
      </c>
    </row>
    <row r="38" spans="2:18" x14ac:dyDescent="0.45">
      <c r="B38" s="57" t="s">
        <v>137</v>
      </c>
      <c r="G38" s="451"/>
      <c r="H38" s="452"/>
      <c r="I38" s="452"/>
      <c r="J38" s="452"/>
      <c r="K38" s="452"/>
      <c r="L38" s="459">
        <v>0.5</v>
      </c>
      <c r="M38" s="462">
        <f>($R$38-$L$38)/6 + L38</f>
        <v>0.48833333333333334</v>
      </c>
      <c r="N38" s="462">
        <f>($R$38-$L$38)/6 + M38</f>
        <v>0.47666666666666668</v>
      </c>
      <c r="O38" s="462">
        <f>($R$38-$L$38)/6 + N38</f>
        <v>0.46500000000000002</v>
      </c>
      <c r="P38" s="462">
        <f>($R$38-$L$38)/6 + O38</f>
        <v>0.45333333333333337</v>
      </c>
      <c r="Q38" s="462">
        <f>($R$38-$L$38)/6 + P38</f>
        <v>0.44166666666666671</v>
      </c>
      <c r="R38" s="460">
        <v>0.43</v>
      </c>
    </row>
    <row r="39" spans="2:18" x14ac:dyDescent="0.45">
      <c r="C39" s="437"/>
      <c r="G39" s="150"/>
      <c r="H39" s="150"/>
      <c r="I39" s="150"/>
      <c r="J39" s="150"/>
      <c r="K39" s="461"/>
      <c r="L39" s="461"/>
      <c r="M39" s="461"/>
      <c r="N39" s="461"/>
      <c r="O39" s="461"/>
      <c r="P39" s="454"/>
      <c r="Q39" s="461"/>
      <c r="R39" s="150"/>
    </row>
    <row r="40" spans="2:18" x14ac:dyDescent="0.45">
      <c r="B40" s="64" t="s">
        <v>139</v>
      </c>
      <c r="C40" s="437"/>
      <c r="G40" s="442">
        <f>(Model!G15*-1)/Model!G10</f>
        <v>0.22206246093355145</v>
      </c>
      <c r="H40" s="443">
        <f>(Model!H15*-1)/Model!H10</f>
        <v>0.27031517397597032</v>
      </c>
      <c r="I40" s="443">
        <f>(Model!I15*-1)/Model!I10</f>
        <v>0.24280838428749627</v>
      </c>
      <c r="J40" s="443">
        <f>(Model!J15*-1)/Model!J10</f>
        <v>0.26217340352398927</v>
      </c>
      <c r="K40" s="444">
        <f>(Model!K15*-1)/Model!K10</f>
        <v>0.23923677514185013</v>
      </c>
      <c r="L40" s="494" cm="1">
        <f t="array" ref="L40">INDEX(L41:L43,$C$5)</f>
        <v>0.24</v>
      </c>
      <c r="M40" s="494" cm="1">
        <f t="array" ref="M40">INDEX(M41:M43,$C$5)</f>
        <v>0.23714285714285713</v>
      </c>
      <c r="N40" s="494" cm="1">
        <f t="array" ref="N40">INDEX(N41:N43,$C$5)</f>
        <v>0.23428571428571426</v>
      </c>
      <c r="O40" s="494" cm="1">
        <f t="array" ref="O40">INDEX(O41:O43,$C$5)</f>
        <v>0.2314285714285714</v>
      </c>
      <c r="P40" s="494" cm="1">
        <f t="array" ref="P40">INDEX(P41:P43,$C$5)</f>
        <v>0.22857142857142854</v>
      </c>
      <c r="Q40" s="494" cm="1">
        <f t="array" ref="Q40">INDEX(Q41:Q43,$C$5)</f>
        <v>0.22571428571428567</v>
      </c>
      <c r="R40" s="495" cm="1">
        <f t="array" ref="R40">INDEX(R41:R43,$C$5)</f>
        <v>0.22</v>
      </c>
    </row>
    <row r="41" spans="2:18" x14ac:dyDescent="0.45">
      <c r="B41" s="57" t="s">
        <v>135</v>
      </c>
      <c r="C41" s="487">
        <v>-0.02</v>
      </c>
      <c r="G41" s="449"/>
      <c r="H41" s="450"/>
      <c r="I41" s="450"/>
      <c r="J41" s="450"/>
      <c r="K41" s="450"/>
      <c r="L41" s="454">
        <f>L42*(1+$C$41)</f>
        <v>0.23519999999999999</v>
      </c>
      <c r="M41" s="454">
        <f t="shared" ref="M41:R41" si="6">M42*(1+$C$41)</f>
        <v>0.23239999999999997</v>
      </c>
      <c r="N41" s="454">
        <f t="shared" si="6"/>
        <v>0.22959999999999997</v>
      </c>
      <c r="O41" s="454">
        <f t="shared" si="6"/>
        <v>0.22679999999999997</v>
      </c>
      <c r="P41" s="454">
        <f t="shared" si="6"/>
        <v>0.22399999999999995</v>
      </c>
      <c r="Q41" s="454">
        <f t="shared" si="6"/>
        <v>0.22119999999999995</v>
      </c>
      <c r="R41" s="463">
        <f t="shared" si="6"/>
        <v>0.21559999999999999</v>
      </c>
    </row>
    <row r="42" spans="2:18" x14ac:dyDescent="0.45">
      <c r="B42" s="57" t="s">
        <v>136</v>
      </c>
      <c r="C42" s="487">
        <v>0</v>
      </c>
      <c r="F42" s="229"/>
      <c r="G42" s="449"/>
      <c r="H42" s="450"/>
      <c r="I42" s="450"/>
      <c r="J42" s="450"/>
      <c r="K42" s="450"/>
      <c r="L42" s="445">
        <v>0.24</v>
      </c>
      <c r="M42" s="456">
        <f>(($R$42-$L$42)/7)+L42</f>
        <v>0.23714285714285713</v>
      </c>
      <c r="N42" s="456">
        <f t="shared" ref="N42:Q42" si="7">(($R$42-$L$42)/7)+M42</f>
        <v>0.23428571428571426</v>
      </c>
      <c r="O42" s="456">
        <f t="shared" si="7"/>
        <v>0.2314285714285714</v>
      </c>
      <c r="P42" s="456">
        <f t="shared" si="7"/>
        <v>0.22857142857142854</v>
      </c>
      <c r="Q42" s="456">
        <f t="shared" si="7"/>
        <v>0.22571428571428567</v>
      </c>
      <c r="R42" s="445">
        <v>0.22</v>
      </c>
    </row>
    <row r="43" spans="2:18" x14ac:dyDescent="0.45">
      <c r="B43" s="57" t="s">
        <v>137</v>
      </c>
      <c r="C43" s="487">
        <v>0.02</v>
      </c>
      <c r="G43" s="451"/>
      <c r="H43" s="452"/>
      <c r="I43" s="452"/>
      <c r="J43" s="452"/>
      <c r="K43" s="452"/>
      <c r="L43" s="462">
        <f>L42*(1+$C$43)</f>
        <v>0.24479999999999999</v>
      </c>
      <c r="M43" s="462">
        <f t="shared" ref="M43:R43" si="8">M42*(1+$C$43)</f>
        <v>0.24188571428571429</v>
      </c>
      <c r="N43" s="462">
        <f t="shared" si="8"/>
        <v>0.23897142857142856</v>
      </c>
      <c r="O43" s="462">
        <f t="shared" si="8"/>
        <v>0.23605714285714283</v>
      </c>
      <c r="P43" s="462">
        <f t="shared" si="8"/>
        <v>0.23314285714285712</v>
      </c>
      <c r="Q43" s="462">
        <f t="shared" si="8"/>
        <v>0.23022857142857139</v>
      </c>
      <c r="R43" s="464">
        <f t="shared" si="8"/>
        <v>0.22440000000000002</v>
      </c>
    </row>
    <row r="44" spans="2:18" x14ac:dyDescent="0.45">
      <c r="C44" s="96"/>
      <c r="G44" s="150"/>
      <c r="H44" s="150"/>
      <c r="I44" s="150"/>
      <c r="J44" s="150"/>
      <c r="K44" s="454"/>
      <c r="L44" s="454"/>
      <c r="M44" s="454"/>
      <c r="N44" s="454"/>
      <c r="O44" s="454"/>
      <c r="P44" s="454"/>
      <c r="Q44" s="454"/>
      <c r="R44" s="150"/>
    </row>
    <row r="45" spans="2:18" x14ac:dyDescent="0.45">
      <c r="B45" s="30" t="s">
        <v>140</v>
      </c>
      <c r="C45" s="35" t="s">
        <v>141</v>
      </c>
      <c r="F45" s="229"/>
      <c r="G45" s="442">
        <f>Model!G221</f>
        <v>7.8700198658692815E-3</v>
      </c>
      <c r="H45" s="443">
        <f>Model!H221</f>
        <v>-1.2360963311540388E-2</v>
      </c>
      <c r="I45" s="443">
        <f>Model!I221</f>
        <v>8.4574982335039878E-3</v>
      </c>
      <c r="J45" s="443">
        <f>Model!J221</f>
        <v>5.8018021343249843E-3</v>
      </c>
      <c r="K45" s="444">
        <f>Model!K221</f>
        <v>3.321031752303583E-3</v>
      </c>
      <c r="L45" s="488">
        <v>3.0000000000000001E-3</v>
      </c>
      <c r="M45" s="489">
        <f>L45</f>
        <v>3.0000000000000001E-3</v>
      </c>
      <c r="N45" s="489">
        <f t="shared" ref="N45:R47" si="9">M45</f>
        <v>3.0000000000000001E-3</v>
      </c>
      <c r="O45" s="489">
        <f t="shared" si="9"/>
        <v>3.0000000000000001E-3</v>
      </c>
      <c r="P45" s="489">
        <f t="shared" si="9"/>
        <v>3.0000000000000001E-3</v>
      </c>
      <c r="Q45" s="489">
        <f t="shared" si="9"/>
        <v>3.0000000000000001E-3</v>
      </c>
      <c r="R45" s="490">
        <f t="shared" si="9"/>
        <v>3.0000000000000001E-3</v>
      </c>
    </row>
    <row r="46" spans="2:18" x14ac:dyDescent="0.45">
      <c r="C46" s="96"/>
      <c r="G46" s="465"/>
      <c r="H46" s="465"/>
      <c r="I46" s="465"/>
      <c r="J46" s="465"/>
      <c r="K46" s="466"/>
      <c r="L46" s="454"/>
      <c r="M46" s="454"/>
      <c r="N46" s="454"/>
      <c r="O46" s="454"/>
      <c r="P46" s="454"/>
      <c r="Q46" s="454"/>
      <c r="R46" s="150"/>
    </row>
    <row r="47" spans="2:18" s="64" customFormat="1" x14ac:dyDescent="0.45">
      <c r="B47" s="64" t="s">
        <v>142</v>
      </c>
      <c r="C47" s="35" t="s">
        <v>143</v>
      </c>
      <c r="G47" s="442">
        <f>Model!G225</f>
        <v>-9.2438548575887639E-2</v>
      </c>
      <c r="H47" s="443">
        <f>Model!H225</f>
        <v>0.35952709009289302</v>
      </c>
      <c r="I47" s="443">
        <f>Model!I225</f>
        <v>1.5591625768371623E-2</v>
      </c>
      <c r="J47" s="443">
        <f>Model!J225</f>
        <v>0.12102706330475441</v>
      </c>
      <c r="K47" s="444">
        <f>Model!K225</f>
        <v>-1.1407138031079846</v>
      </c>
      <c r="L47" s="488">
        <v>0.1</v>
      </c>
      <c r="M47" s="489">
        <f>L47</f>
        <v>0.1</v>
      </c>
      <c r="N47" s="489">
        <f t="shared" si="9"/>
        <v>0.1</v>
      </c>
      <c r="O47" s="489">
        <f t="shared" si="9"/>
        <v>0.1</v>
      </c>
      <c r="P47" s="489">
        <f t="shared" si="9"/>
        <v>0.1</v>
      </c>
      <c r="Q47" s="489">
        <f t="shared" si="9"/>
        <v>0.1</v>
      </c>
      <c r="R47" s="490">
        <f t="shared" si="9"/>
        <v>0.1</v>
      </c>
    </row>
    <row r="48" spans="2:18" s="146" customFormat="1" x14ac:dyDescent="0.45">
      <c r="C48" s="438"/>
    </row>
    <row r="49" spans="1:18" ht="15" customHeight="1" x14ac:dyDescent="0.45">
      <c r="A49" s="1" t="s">
        <v>18</v>
      </c>
      <c r="B49" s="4" t="s">
        <v>144</v>
      </c>
      <c r="C49" s="435"/>
      <c r="D49" s="4"/>
      <c r="E49" s="4"/>
      <c r="F49" s="4"/>
      <c r="G49" s="4"/>
      <c r="H49" s="4"/>
      <c r="I49" s="4"/>
      <c r="J49" s="4"/>
      <c r="K49" s="4"/>
      <c r="L49" s="4"/>
      <c r="M49" s="4"/>
      <c r="N49" s="4"/>
      <c r="O49" s="4"/>
      <c r="P49" s="4"/>
      <c r="Q49" s="4"/>
      <c r="R49" s="4"/>
    </row>
    <row r="50" spans="1:18" x14ac:dyDescent="0.45">
      <c r="B50" s="30"/>
      <c r="G50" s="146"/>
      <c r="H50" s="146"/>
      <c r="I50" s="146"/>
      <c r="J50" s="146"/>
      <c r="K50" s="146"/>
      <c r="L50" s="155"/>
      <c r="M50" s="156"/>
      <c r="N50" s="156"/>
      <c r="O50" s="156"/>
      <c r="P50" s="156"/>
      <c r="Q50" s="156"/>
      <c r="R50" s="156"/>
    </row>
    <row r="51" spans="1:18" x14ac:dyDescent="0.45">
      <c r="B51" s="30" t="s">
        <v>145</v>
      </c>
      <c r="C51" s="35" t="s">
        <v>141</v>
      </c>
      <c r="G51" s="442">
        <f>Model!G261</f>
        <v>-1.6950970704547284E-2</v>
      </c>
      <c r="H51" s="443">
        <f>Model!H261</f>
        <v>-7.5859415373767001E-3</v>
      </c>
      <c r="I51" s="443">
        <f>Model!I261</f>
        <v>-1.4056716638734347E-2</v>
      </c>
      <c r="J51" s="443">
        <f>Model!J261</f>
        <v>-1.3314155474455922E-2</v>
      </c>
      <c r="K51" s="444">
        <f>Model!K261</f>
        <v>-1.6790867854151192E-2</v>
      </c>
      <c r="L51" s="488">
        <v>-0.02</v>
      </c>
      <c r="M51" s="489">
        <f>L51</f>
        <v>-0.02</v>
      </c>
      <c r="N51" s="489">
        <f t="shared" ref="N51:R51" si="10">M51</f>
        <v>-0.02</v>
      </c>
      <c r="O51" s="489">
        <f t="shared" si="10"/>
        <v>-0.02</v>
      </c>
      <c r="P51" s="489">
        <f t="shared" si="10"/>
        <v>-0.02</v>
      </c>
      <c r="Q51" s="489">
        <f t="shared" si="10"/>
        <v>-0.02</v>
      </c>
      <c r="R51" s="490">
        <f t="shared" si="10"/>
        <v>-0.02</v>
      </c>
    </row>
    <row r="52" spans="1:18" x14ac:dyDescent="0.45">
      <c r="B52" s="30"/>
      <c r="G52" s="223"/>
      <c r="H52" s="223"/>
      <c r="I52" s="223"/>
      <c r="J52" s="223"/>
      <c r="K52" s="223"/>
      <c r="L52" s="230"/>
      <c r="M52" s="231"/>
      <c r="N52" s="231"/>
      <c r="O52" s="231"/>
      <c r="P52" s="231"/>
      <c r="Q52" s="231"/>
      <c r="R52" s="231"/>
    </row>
    <row r="53" spans="1:18" x14ac:dyDescent="0.45">
      <c r="B53" s="30" t="s">
        <v>146</v>
      </c>
      <c r="C53" s="35" t="s">
        <v>147</v>
      </c>
      <c r="G53" s="223"/>
      <c r="H53" s="223"/>
      <c r="I53" s="223"/>
      <c r="J53" s="223"/>
      <c r="K53" s="223"/>
      <c r="L53" s="230"/>
      <c r="M53" s="231"/>
      <c r="N53" s="231"/>
      <c r="O53" s="231"/>
      <c r="P53" s="231"/>
      <c r="Q53" s="231"/>
      <c r="R53" s="231"/>
    </row>
    <row r="54" spans="1:18" x14ac:dyDescent="0.45">
      <c r="A54" s="1" t="s">
        <v>148</v>
      </c>
      <c r="B54" s="171" t="s">
        <v>149</v>
      </c>
      <c r="G54" s="229"/>
      <c r="H54" s="229"/>
      <c r="I54" s="229"/>
      <c r="J54" s="229"/>
      <c r="K54" s="229"/>
      <c r="L54" s="229"/>
      <c r="M54" s="229"/>
      <c r="N54" s="229"/>
      <c r="O54" s="229"/>
      <c r="P54" s="229"/>
      <c r="Q54" s="229"/>
      <c r="R54" s="229"/>
    </row>
    <row r="55" spans="1:18" x14ac:dyDescent="0.45">
      <c r="B55" s="172" t="s">
        <v>150</v>
      </c>
      <c r="G55" s="450"/>
      <c r="H55" s="450"/>
      <c r="I55" s="450"/>
      <c r="J55" s="467">
        <f>Model!J264/Model!$J$268</f>
        <v>11.538714991762768</v>
      </c>
      <c r="K55" s="467">
        <f>Model!K264/Model!$K$268</f>
        <v>7.020450427129174E-2</v>
      </c>
      <c r="L55" s="492">
        <v>0.05</v>
      </c>
      <c r="M55" s="493">
        <f t="shared" ref="M55:R55" si="11">L55</f>
        <v>0.05</v>
      </c>
      <c r="N55" s="493">
        <f t="shared" si="11"/>
        <v>0.05</v>
      </c>
      <c r="O55" s="493">
        <f t="shared" si="11"/>
        <v>0.05</v>
      </c>
      <c r="P55" s="493">
        <f t="shared" si="11"/>
        <v>0.05</v>
      </c>
      <c r="Q55" s="493">
        <f t="shared" si="11"/>
        <v>0.05</v>
      </c>
      <c r="R55" s="493">
        <f t="shared" si="11"/>
        <v>0.05</v>
      </c>
    </row>
    <row r="56" spans="1:18" x14ac:dyDescent="0.45">
      <c r="B56" s="172" t="s">
        <v>151</v>
      </c>
      <c r="G56" s="450"/>
      <c r="H56" s="450"/>
      <c r="I56" s="450"/>
      <c r="J56" s="467">
        <f>Model!J265/Model!$J$268</f>
        <v>-2.4629324546952223</v>
      </c>
      <c r="K56" s="467">
        <f>Model!K265/Model!$K$268</f>
        <v>2.076106652860471E-2</v>
      </c>
      <c r="L56" s="492">
        <v>0.05</v>
      </c>
      <c r="M56" s="493">
        <f t="shared" ref="M56:R56" si="12">L56</f>
        <v>0.05</v>
      </c>
      <c r="N56" s="493">
        <f t="shared" si="12"/>
        <v>0.05</v>
      </c>
      <c r="O56" s="493">
        <f t="shared" si="12"/>
        <v>0.05</v>
      </c>
      <c r="P56" s="493">
        <f t="shared" si="12"/>
        <v>0.05</v>
      </c>
      <c r="Q56" s="493">
        <f t="shared" si="12"/>
        <v>0.05</v>
      </c>
      <c r="R56" s="493">
        <f t="shared" si="12"/>
        <v>0.05</v>
      </c>
    </row>
    <row r="57" spans="1:18" x14ac:dyDescent="0.45">
      <c r="B57" s="172" t="s">
        <v>152</v>
      </c>
      <c r="G57" s="450"/>
      <c r="H57" s="450"/>
      <c r="I57" s="450"/>
      <c r="J57" s="467">
        <f>Model!J266/Model!$J$268</f>
        <v>-0.83031301482701814</v>
      </c>
      <c r="K57" s="467">
        <f>Model!K266/Model!$K$268</f>
        <v>2.9200103546466478E-2</v>
      </c>
      <c r="L57" s="492">
        <v>0.75</v>
      </c>
      <c r="M57" s="493">
        <f t="shared" ref="M57:R57" si="13">L57</f>
        <v>0.75</v>
      </c>
      <c r="N57" s="493">
        <f t="shared" si="13"/>
        <v>0.75</v>
      </c>
      <c r="O57" s="493">
        <f t="shared" si="13"/>
        <v>0.75</v>
      </c>
      <c r="P57" s="493">
        <f t="shared" si="13"/>
        <v>0.75</v>
      </c>
      <c r="Q57" s="493">
        <f t="shared" si="13"/>
        <v>0.75</v>
      </c>
      <c r="R57" s="493">
        <f t="shared" si="13"/>
        <v>0.75</v>
      </c>
    </row>
    <row r="58" spans="1:18" x14ac:dyDescent="0.45">
      <c r="B58" s="172" t="s">
        <v>153</v>
      </c>
      <c r="G58" s="450"/>
      <c r="H58" s="450"/>
      <c r="I58" s="450"/>
      <c r="J58" s="468">
        <f>Model!J267/Model!$J$268</f>
        <v>-7.2454695222405272</v>
      </c>
      <c r="K58" s="469">
        <f>Model!K267/Model!$K$268</f>
        <v>0.87983432565363706</v>
      </c>
      <c r="L58" s="492">
        <v>0.15</v>
      </c>
      <c r="M58" s="493">
        <f t="shared" ref="M58:R58" si="14">L58</f>
        <v>0.15</v>
      </c>
      <c r="N58" s="493">
        <f t="shared" si="14"/>
        <v>0.15</v>
      </c>
      <c r="O58" s="493">
        <f t="shared" si="14"/>
        <v>0.15</v>
      </c>
      <c r="P58" s="493">
        <f t="shared" si="14"/>
        <v>0.15</v>
      </c>
      <c r="Q58" s="493">
        <f t="shared" si="14"/>
        <v>0.15</v>
      </c>
      <c r="R58" s="493">
        <f t="shared" si="14"/>
        <v>0.15</v>
      </c>
    </row>
    <row r="59" spans="1:18" x14ac:dyDescent="0.45">
      <c r="B59" s="64" t="s">
        <v>154</v>
      </c>
      <c r="G59" s="450"/>
      <c r="H59" s="450"/>
      <c r="I59" s="450"/>
      <c r="J59" s="150">
        <f t="shared" ref="J59:R59" si="15">SUM(J55:J58)</f>
        <v>1.0000000000000009</v>
      </c>
      <c r="K59" s="150">
        <f t="shared" si="15"/>
        <v>1</v>
      </c>
      <c r="L59" s="150">
        <f t="shared" si="15"/>
        <v>1</v>
      </c>
      <c r="M59" s="150">
        <f t="shared" si="15"/>
        <v>1</v>
      </c>
      <c r="N59" s="150">
        <f t="shared" si="15"/>
        <v>1</v>
      </c>
      <c r="O59" s="150">
        <f t="shared" si="15"/>
        <v>1</v>
      </c>
      <c r="P59" s="150">
        <f t="shared" si="15"/>
        <v>1</v>
      </c>
      <c r="Q59" s="150">
        <f t="shared" si="15"/>
        <v>1</v>
      </c>
      <c r="R59" s="150">
        <f t="shared" si="15"/>
        <v>1</v>
      </c>
    </row>
    <row r="60" spans="1:18" x14ac:dyDescent="0.45">
      <c r="C60" s="96"/>
      <c r="G60" s="229"/>
      <c r="H60" s="229"/>
      <c r="I60" s="229"/>
      <c r="J60" s="229"/>
      <c r="K60" s="224"/>
      <c r="L60" s="224"/>
      <c r="M60" s="224"/>
      <c r="N60" s="224"/>
      <c r="O60" s="224"/>
      <c r="P60" s="224"/>
      <c r="Q60" s="224"/>
      <c r="R60" s="229"/>
    </row>
    <row r="61" spans="1:18" x14ac:dyDescent="0.45">
      <c r="B61" s="64" t="s">
        <v>155</v>
      </c>
      <c r="C61" s="35" t="s">
        <v>141</v>
      </c>
      <c r="G61" s="229"/>
      <c r="H61" s="229"/>
      <c r="I61" s="229"/>
      <c r="J61" s="229"/>
      <c r="K61" s="229"/>
      <c r="L61" s="492">
        <v>-2.5000000000000001E-2</v>
      </c>
      <c r="M61" s="493">
        <f t="shared" ref="M61" si="16">L61</f>
        <v>-2.5000000000000001E-2</v>
      </c>
      <c r="N61" s="493">
        <f t="shared" ref="N61" si="17">M61</f>
        <v>-2.5000000000000001E-2</v>
      </c>
      <c r="O61" s="493">
        <f t="shared" ref="O61" si="18">N61</f>
        <v>-2.5000000000000001E-2</v>
      </c>
      <c r="P61" s="493">
        <f t="shared" ref="P61" si="19">O61</f>
        <v>-2.5000000000000001E-2</v>
      </c>
      <c r="Q61" s="493">
        <f t="shared" ref="Q61" si="20">P61</f>
        <v>-2.5000000000000001E-2</v>
      </c>
      <c r="R61" s="493">
        <f t="shared" ref="R61" si="21">Q61</f>
        <v>-2.5000000000000001E-2</v>
      </c>
    </row>
    <row r="62" spans="1:18" x14ac:dyDescent="0.45">
      <c r="B62" s="64"/>
      <c r="C62" s="96"/>
      <c r="G62" s="232"/>
      <c r="H62" s="232"/>
      <c r="I62" s="232"/>
      <c r="J62" s="232"/>
      <c r="K62" s="233"/>
      <c r="L62" s="454"/>
      <c r="M62" s="454"/>
      <c r="N62" s="454"/>
      <c r="O62" s="454"/>
      <c r="P62" s="456"/>
      <c r="Q62" s="470"/>
      <c r="R62" s="150"/>
    </row>
    <row r="63" spans="1:18" x14ac:dyDescent="0.45">
      <c r="B63" s="30" t="s">
        <v>156</v>
      </c>
      <c r="C63" s="35" t="s">
        <v>157</v>
      </c>
      <c r="G63" s="223"/>
      <c r="H63" s="223"/>
      <c r="I63" s="223"/>
      <c r="J63" s="223"/>
      <c r="K63" s="223"/>
      <c r="L63" s="155"/>
      <c r="M63" s="156"/>
      <c r="N63" s="156"/>
      <c r="O63" s="156"/>
      <c r="P63" s="156"/>
      <c r="Q63" s="156"/>
      <c r="R63" s="156"/>
    </row>
    <row r="64" spans="1:18" x14ac:dyDescent="0.45">
      <c r="B64" s="57" t="s">
        <v>158</v>
      </c>
      <c r="G64" s="450"/>
      <c r="H64" s="450"/>
      <c r="I64" s="450"/>
      <c r="J64" s="450"/>
      <c r="K64" s="450"/>
      <c r="L64" s="492">
        <v>0.15</v>
      </c>
      <c r="M64" s="493">
        <f t="shared" ref="M64:M66" si="22">L64</f>
        <v>0.15</v>
      </c>
      <c r="N64" s="493">
        <f t="shared" ref="N64:N66" si="23">M64</f>
        <v>0.15</v>
      </c>
      <c r="O64" s="493">
        <f t="shared" ref="O64:O66" si="24">N64</f>
        <v>0.15</v>
      </c>
      <c r="P64" s="493">
        <f t="shared" ref="P64:P66" si="25">O64</f>
        <v>0.15</v>
      </c>
      <c r="Q64" s="493">
        <f t="shared" ref="Q64:Q66" si="26">P64</f>
        <v>0.15</v>
      </c>
      <c r="R64" s="493">
        <f t="shared" ref="R64:R66" si="27">Q64</f>
        <v>0.15</v>
      </c>
    </row>
    <row r="65" spans="2:19" x14ac:dyDescent="0.45">
      <c r="B65" s="57" t="s">
        <v>159</v>
      </c>
      <c r="G65" s="450"/>
      <c r="H65" s="450"/>
      <c r="I65" s="450"/>
      <c r="J65" s="450"/>
      <c r="K65" s="450"/>
      <c r="L65" s="492">
        <v>0.7</v>
      </c>
      <c r="M65" s="493">
        <f t="shared" si="22"/>
        <v>0.7</v>
      </c>
      <c r="N65" s="493">
        <f t="shared" si="23"/>
        <v>0.7</v>
      </c>
      <c r="O65" s="493">
        <f t="shared" si="24"/>
        <v>0.7</v>
      </c>
      <c r="P65" s="493">
        <f t="shared" si="25"/>
        <v>0.7</v>
      </c>
      <c r="Q65" s="493">
        <f t="shared" si="26"/>
        <v>0.7</v>
      </c>
      <c r="R65" s="493">
        <f t="shared" si="27"/>
        <v>0.7</v>
      </c>
    </row>
    <row r="66" spans="2:19" x14ac:dyDescent="0.45">
      <c r="B66" s="57" t="s">
        <v>160</v>
      </c>
      <c r="G66" s="450"/>
      <c r="H66" s="450"/>
      <c r="I66" s="450"/>
      <c r="J66" s="450"/>
      <c r="K66" s="450"/>
      <c r="L66" s="492">
        <v>0.15</v>
      </c>
      <c r="M66" s="493">
        <f t="shared" si="22"/>
        <v>0.15</v>
      </c>
      <c r="N66" s="493">
        <f t="shared" si="23"/>
        <v>0.15</v>
      </c>
      <c r="O66" s="493">
        <f t="shared" si="24"/>
        <v>0.15</v>
      </c>
      <c r="P66" s="493">
        <f t="shared" si="25"/>
        <v>0.15</v>
      </c>
      <c r="Q66" s="493">
        <f t="shared" si="26"/>
        <v>0.15</v>
      </c>
      <c r="R66" s="493">
        <f t="shared" si="27"/>
        <v>0.15</v>
      </c>
    </row>
    <row r="67" spans="2:19" x14ac:dyDescent="0.45">
      <c r="B67" s="64" t="s">
        <v>154</v>
      </c>
      <c r="G67" s="450"/>
      <c r="H67" s="450"/>
      <c r="I67" s="450"/>
      <c r="J67" s="450"/>
      <c r="K67" s="450"/>
      <c r="L67" s="150">
        <f t="shared" ref="L67:R67" si="28">SUM(L64:L66)</f>
        <v>1</v>
      </c>
      <c r="M67" s="150">
        <f t="shared" si="28"/>
        <v>1</v>
      </c>
      <c r="N67" s="150">
        <f t="shared" si="28"/>
        <v>1</v>
      </c>
      <c r="O67" s="150">
        <f t="shared" si="28"/>
        <v>1</v>
      </c>
      <c r="P67" s="150">
        <f t="shared" si="28"/>
        <v>1</v>
      </c>
      <c r="Q67" s="150">
        <f t="shared" si="28"/>
        <v>1</v>
      </c>
      <c r="R67" s="150">
        <f t="shared" si="28"/>
        <v>1</v>
      </c>
    </row>
    <row r="68" spans="2:19" x14ac:dyDescent="0.45">
      <c r="B68" s="64"/>
      <c r="G68" s="146"/>
      <c r="H68" s="146"/>
      <c r="I68" s="146"/>
      <c r="J68" s="146"/>
      <c r="K68" s="146"/>
      <c r="L68" s="140"/>
      <c r="M68" s="140"/>
      <c r="N68" s="140"/>
      <c r="O68" s="140"/>
      <c r="P68" s="142"/>
      <c r="Q68" s="141"/>
    </row>
    <row r="69" spans="2:19" x14ac:dyDescent="0.45">
      <c r="B69" s="114" t="s">
        <v>161</v>
      </c>
      <c r="C69" s="35" t="s">
        <v>162</v>
      </c>
      <c r="G69" s="450"/>
      <c r="H69" s="450"/>
      <c r="I69" s="450"/>
      <c r="J69" s="450"/>
      <c r="K69" s="450"/>
      <c r="L69" s="428">
        <v>-51174</v>
      </c>
      <c r="M69" s="428">
        <v>-55780</v>
      </c>
      <c r="N69" s="428">
        <v>-47009</v>
      </c>
      <c r="O69" s="428">
        <v>-30140</v>
      </c>
      <c r="P69" s="177">
        <f>O69</f>
        <v>-30140</v>
      </c>
      <c r="Q69" s="177">
        <f>P69</f>
        <v>-30140</v>
      </c>
      <c r="R69" s="177">
        <f>Q69</f>
        <v>-30140</v>
      </c>
    </row>
    <row r="70" spans="2:19" x14ac:dyDescent="0.45">
      <c r="B70" s="64"/>
      <c r="G70" s="146"/>
      <c r="H70" s="146"/>
      <c r="I70" s="146"/>
      <c r="J70" s="146"/>
      <c r="K70" s="146"/>
      <c r="L70" s="140"/>
      <c r="M70" s="140"/>
      <c r="N70" s="140"/>
      <c r="O70" s="140"/>
      <c r="P70" s="142"/>
      <c r="Q70" s="141"/>
    </row>
    <row r="71" spans="2:19" x14ac:dyDescent="0.45">
      <c r="B71" s="64" t="s">
        <v>163</v>
      </c>
    </row>
    <row r="72" spans="2:19" x14ac:dyDescent="0.45">
      <c r="H72" s="98"/>
      <c r="I72" s="98"/>
      <c r="J72" s="98"/>
      <c r="K72" s="94"/>
      <c r="L72" s="99"/>
      <c r="M72" s="99"/>
      <c r="N72" s="99"/>
      <c r="O72" s="99"/>
      <c r="P72" s="99"/>
      <c r="Q72" s="94"/>
    </row>
    <row r="73" spans="2:19" x14ac:dyDescent="0.45">
      <c r="B73" s="64" t="s">
        <v>164</v>
      </c>
      <c r="C73" s="436"/>
      <c r="E73" s="99"/>
      <c r="G73" s="431">
        <f>Model!G387*(1/Model!G382)</f>
        <v>3.4433038817867323</v>
      </c>
      <c r="H73" s="432">
        <f>Model!H387*(1/Model!H382)</f>
        <v>4.4165570579683777</v>
      </c>
      <c r="I73" s="432">
        <f>Model!I387*(1/Model!I382)</f>
        <v>3.7098775824641148</v>
      </c>
      <c r="J73" s="432">
        <f>Model!J387*(1/Model!J382)</f>
        <v>4.5249673576539955</v>
      </c>
      <c r="K73" s="433">
        <f>Model!K387*(1/Model!K382)</f>
        <v>8.9755871568333045</v>
      </c>
      <c r="L73" s="496" cm="1">
        <f t="array" ref="L73">INDEX(L74:L76,$C$5)</f>
        <v>8</v>
      </c>
      <c r="M73" s="496" cm="1">
        <f t="array" ref="M73">INDEX(M74:M76,$C$5)</f>
        <v>7.5</v>
      </c>
      <c r="N73" s="496" cm="1">
        <f t="array" ref="N73">INDEX(N74:N76,$C$5)</f>
        <v>7</v>
      </c>
      <c r="O73" s="496" cm="1">
        <f t="array" ref="O73">INDEX(O74:O76,$C$5)</f>
        <v>6.5</v>
      </c>
      <c r="P73" s="496" cm="1">
        <f t="array" ref="P73">INDEX(P74:P76,$C$5)</f>
        <v>6</v>
      </c>
      <c r="Q73" s="496" cm="1">
        <f t="array" ref="Q73">INDEX(Q74:Q76,$C$5)</f>
        <v>5.5</v>
      </c>
      <c r="R73" s="497" cm="1">
        <f t="array" ref="R73">INDEX(R74:R76,$C$5)</f>
        <v>5</v>
      </c>
    </row>
    <row r="74" spans="2:19" x14ac:dyDescent="0.45">
      <c r="B74" s="57" t="s">
        <v>135</v>
      </c>
      <c r="C74" s="487">
        <v>-0.1</v>
      </c>
      <c r="G74" s="151"/>
      <c r="H74" s="143"/>
      <c r="I74" s="143"/>
      <c r="J74" s="143"/>
      <c r="K74" s="143"/>
      <c r="L74" s="179">
        <f>L75*(1+$C$74)</f>
        <v>7.2</v>
      </c>
      <c r="M74" s="179">
        <f t="shared" ref="M74:R74" si="29">M75*(1+$C$74)</f>
        <v>6.75</v>
      </c>
      <c r="N74" s="179">
        <f t="shared" si="29"/>
        <v>6.3</v>
      </c>
      <c r="O74" s="179">
        <f t="shared" si="29"/>
        <v>5.8500000000000005</v>
      </c>
      <c r="P74" s="179">
        <f t="shared" si="29"/>
        <v>5.4</v>
      </c>
      <c r="Q74" s="179">
        <f t="shared" si="29"/>
        <v>4.95</v>
      </c>
      <c r="R74" s="180">
        <f t="shared" si="29"/>
        <v>4.5</v>
      </c>
    </row>
    <row r="75" spans="2:19" x14ac:dyDescent="0.45">
      <c r="B75" s="57" t="s">
        <v>136</v>
      </c>
      <c r="C75" s="487">
        <v>0</v>
      </c>
      <c r="E75" s="99"/>
      <c r="F75"/>
      <c r="G75" s="151"/>
      <c r="H75" s="143"/>
      <c r="I75" s="143"/>
      <c r="J75" s="143"/>
      <c r="K75" s="143"/>
      <c r="L75" s="429">
        <v>8</v>
      </c>
      <c r="M75" s="181">
        <f>($R$75-$L$75)/6 + L75</f>
        <v>7.5</v>
      </c>
      <c r="N75" s="181">
        <f t="shared" ref="N75:Q75" si="30">($R$75-$L$75)/6 + M75</f>
        <v>7</v>
      </c>
      <c r="O75" s="181">
        <f t="shared" si="30"/>
        <v>6.5</v>
      </c>
      <c r="P75" s="181">
        <f t="shared" si="30"/>
        <v>6</v>
      </c>
      <c r="Q75" s="181">
        <f t="shared" si="30"/>
        <v>5.5</v>
      </c>
      <c r="R75" s="430">
        <v>5</v>
      </c>
      <c r="S75" s="150"/>
    </row>
    <row r="76" spans="2:19" x14ac:dyDescent="0.45">
      <c r="B76" s="57" t="s">
        <v>137</v>
      </c>
      <c r="C76" s="487">
        <v>0.1</v>
      </c>
      <c r="G76" s="152"/>
      <c r="H76" s="153"/>
      <c r="I76" s="153"/>
      <c r="J76" s="153"/>
      <c r="K76" s="153"/>
      <c r="L76" s="182">
        <f>L75*(1+$C$76)</f>
        <v>8.8000000000000007</v>
      </c>
      <c r="M76" s="182">
        <f t="shared" ref="M76:R76" si="31">M75*(1+$C$76)</f>
        <v>8.25</v>
      </c>
      <c r="N76" s="182">
        <f t="shared" si="31"/>
        <v>7.7000000000000011</v>
      </c>
      <c r="O76" s="182">
        <f t="shared" si="31"/>
        <v>7.15</v>
      </c>
      <c r="P76" s="182">
        <f t="shared" si="31"/>
        <v>6.6000000000000005</v>
      </c>
      <c r="Q76" s="182">
        <f t="shared" si="31"/>
        <v>6.0500000000000007</v>
      </c>
      <c r="R76" s="183">
        <f t="shared" si="31"/>
        <v>5.5</v>
      </c>
    </row>
    <row r="77" spans="2:19" x14ac:dyDescent="0.45">
      <c r="H77" s="91"/>
      <c r="I77" s="91"/>
      <c r="J77" s="91"/>
      <c r="K77" s="97"/>
      <c r="L77" s="92"/>
      <c r="M77" s="92"/>
      <c r="N77" s="92"/>
      <c r="O77" s="92"/>
      <c r="P77" s="92"/>
      <c r="Q77" s="95"/>
    </row>
    <row r="78" spans="2:19" x14ac:dyDescent="0.45">
      <c r="B78" s="64" t="s">
        <v>165</v>
      </c>
      <c r="C78" s="436"/>
      <c r="G78" s="431">
        <f>Model!G394*(1/ABS(Model!G384))</f>
        <v>14.277377609571481</v>
      </c>
      <c r="H78" s="432">
        <f>Model!H394*(1/ABS(Model!H384))</f>
        <v>62.201104365599925</v>
      </c>
      <c r="I78" s="432">
        <f>Model!I394*(1/ABS(Model!I384))</f>
        <v>76.478468937306033</v>
      </c>
      <c r="J78" s="432">
        <f>Model!J394*(1/ABS(Model!J384))</f>
        <v>31.05207821558416</v>
      </c>
      <c r="K78" s="433">
        <f>Model!K394*(1/ABS(Model!K384))</f>
        <v>22.624301272166537</v>
      </c>
      <c r="L78" s="496" cm="1">
        <f t="array" ref="L78">INDEX(L79:L81,$C$5)</f>
        <v>22.5</v>
      </c>
      <c r="M78" s="496" cm="1">
        <f t="array" ref="M78">INDEX(M79:M81,$C$5)</f>
        <v>23.571428571428573</v>
      </c>
      <c r="N78" s="496" cm="1">
        <f t="array" ref="N78">INDEX(N79:N81,$C$5)</f>
        <v>24.642857142857146</v>
      </c>
      <c r="O78" s="496" cm="1">
        <f t="array" ref="O78">INDEX(O79:O81,$C$5)</f>
        <v>25.714285714285719</v>
      </c>
      <c r="P78" s="496" cm="1">
        <f t="array" ref="P78">INDEX(P79:P81,$C$5)</f>
        <v>26.785714285714292</v>
      </c>
      <c r="Q78" s="496" cm="1">
        <f t="array" ref="Q78">INDEX(Q79:Q81,$C$5)</f>
        <v>27.857142857142865</v>
      </c>
      <c r="R78" s="497" cm="1">
        <f t="array" ref="R78">INDEX(R79:R81,$C$5)</f>
        <v>30</v>
      </c>
    </row>
    <row r="79" spans="2:19" x14ac:dyDescent="0.45">
      <c r="B79" s="57" t="s">
        <v>135</v>
      </c>
      <c r="C79" s="487">
        <v>0.1</v>
      </c>
      <c r="G79" s="151"/>
      <c r="H79" s="143"/>
      <c r="I79" s="143"/>
      <c r="J79" s="143"/>
      <c r="K79" s="143"/>
      <c r="L79" s="179">
        <f>L80*(1+$C$79)</f>
        <v>24.750000000000004</v>
      </c>
      <c r="M79" s="179">
        <f t="shared" ref="M79:R79" si="32">M80*(1+$C$79)</f>
        <v>25.928571428571431</v>
      </c>
      <c r="N79" s="179">
        <f t="shared" si="32"/>
        <v>27.107142857142861</v>
      </c>
      <c r="O79" s="179">
        <f t="shared" si="32"/>
        <v>28.285714285714292</v>
      </c>
      <c r="P79" s="179">
        <f t="shared" si="32"/>
        <v>29.464285714285722</v>
      </c>
      <c r="Q79" s="179">
        <f t="shared" si="32"/>
        <v>30.642857142857153</v>
      </c>
      <c r="R79" s="180">
        <f t="shared" si="32"/>
        <v>33</v>
      </c>
    </row>
    <row r="80" spans="2:19" x14ac:dyDescent="0.45">
      <c r="B80" s="57" t="s">
        <v>136</v>
      </c>
      <c r="C80" s="487">
        <v>0</v>
      </c>
      <c r="E80" s="99"/>
      <c r="F80" s="99"/>
      <c r="G80" s="151"/>
      <c r="H80" s="143"/>
      <c r="I80" s="143"/>
      <c r="J80" s="143"/>
      <c r="K80" s="143"/>
      <c r="L80" s="429">
        <v>22.5</v>
      </c>
      <c r="M80" s="181">
        <f>(($R$80-$L$80)/7)+L80</f>
        <v>23.571428571428573</v>
      </c>
      <c r="N80" s="181">
        <f t="shared" ref="N80:Q80" si="33">(($R$80-$L$80)/7)+M80</f>
        <v>24.642857142857146</v>
      </c>
      <c r="O80" s="181">
        <f t="shared" si="33"/>
        <v>25.714285714285719</v>
      </c>
      <c r="P80" s="181">
        <f t="shared" si="33"/>
        <v>26.785714285714292</v>
      </c>
      <c r="Q80" s="181">
        <f t="shared" si="33"/>
        <v>27.857142857142865</v>
      </c>
      <c r="R80" s="430">
        <v>30</v>
      </c>
      <c r="S80" s="150"/>
    </row>
    <row r="81" spans="1:19" x14ac:dyDescent="0.45">
      <c r="B81" s="57" t="s">
        <v>137</v>
      </c>
      <c r="C81" s="487">
        <v>-0.1</v>
      </c>
      <c r="G81" s="152"/>
      <c r="H81" s="153"/>
      <c r="I81" s="153"/>
      <c r="J81" s="153"/>
      <c r="K81" s="153"/>
      <c r="L81" s="182">
        <f>L80*(1+$C$81)</f>
        <v>20.25</v>
      </c>
      <c r="M81" s="182">
        <f t="shared" ref="M81:R81" si="34">M80*(1+$C$81)</f>
        <v>21.214285714285715</v>
      </c>
      <c r="N81" s="182">
        <f t="shared" si="34"/>
        <v>22.178571428571431</v>
      </c>
      <c r="O81" s="182">
        <f t="shared" si="34"/>
        <v>23.142857142857146</v>
      </c>
      <c r="P81" s="182">
        <f t="shared" si="34"/>
        <v>24.107142857142865</v>
      </c>
      <c r="Q81" s="182">
        <f t="shared" si="34"/>
        <v>25.07142857142858</v>
      </c>
      <c r="R81" s="183">
        <f t="shared" si="34"/>
        <v>27</v>
      </c>
    </row>
    <row r="82" spans="1:19" x14ac:dyDescent="0.45">
      <c r="H82" s="91"/>
      <c r="I82" s="91"/>
      <c r="J82" s="91"/>
      <c r="K82" s="97"/>
      <c r="L82" s="92"/>
      <c r="M82" s="92"/>
      <c r="N82" s="92"/>
      <c r="O82" s="92"/>
      <c r="P82" s="92"/>
      <c r="Q82" s="95"/>
    </row>
    <row r="83" spans="1:19" x14ac:dyDescent="0.45">
      <c r="B83" s="30" t="s">
        <v>166</v>
      </c>
      <c r="C83" s="35" t="s">
        <v>141</v>
      </c>
      <c r="G83" s="442">
        <f>Model!G47/Model!G10</f>
        <v>0</v>
      </c>
      <c r="H83" s="443">
        <f>Model!H47/Model!H10</f>
        <v>0</v>
      </c>
      <c r="I83" s="443">
        <f>Model!I47/Model!I10</f>
        <v>2.3315196457314568E-3</v>
      </c>
      <c r="J83" s="443">
        <f>Model!J47/Model!J10</f>
        <v>5.1235795389009105E-3</v>
      </c>
      <c r="K83" s="444">
        <f>Model!K47/Model!K10</f>
        <v>6.0148014098086013E-3</v>
      </c>
      <c r="L83" s="488">
        <v>5.0000000000000001E-3</v>
      </c>
      <c r="M83" s="489">
        <f>L83</f>
        <v>5.0000000000000001E-3</v>
      </c>
      <c r="N83" s="489">
        <f t="shared" ref="N83" si="35">M83</f>
        <v>5.0000000000000001E-3</v>
      </c>
      <c r="O83" s="489">
        <f t="shared" ref="O83" si="36">N83</f>
        <v>5.0000000000000001E-3</v>
      </c>
      <c r="P83" s="489">
        <f t="shared" ref="P83" si="37">O83</f>
        <v>5.0000000000000001E-3</v>
      </c>
      <c r="Q83" s="489">
        <f t="shared" ref="Q83" si="38">P83</f>
        <v>5.0000000000000001E-3</v>
      </c>
      <c r="R83" s="490">
        <f t="shared" ref="R83" si="39">Q83</f>
        <v>5.0000000000000001E-3</v>
      </c>
    </row>
    <row r="84" spans="1:19" x14ac:dyDescent="0.45">
      <c r="G84" s="465"/>
      <c r="H84" s="472"/>
      <c r="I84" s="472"/>
      <c r="J84" s="472"/>
      <c r="K84" s="472"/>
      <c r="L84" s="473"/>
      <c r="M84" s="461"/>
      <c r="N84" s="461"/>
      <c r="O84" s="461"/>
      <c r="P84" s="461"/>
      <c r="Q84" s="471"/>
      <c r="R84" s="150"/>
    </row>
    <row r="85" spans="1:19" x14ac:dyDescent="0.45">
      <c r="B85" s="30" t="s">
        <v>167</v>
      </c>
      <c r="C85" s="35" t="s">
        <v>141</v>
      </c>
      <c r="E85" s="150"/>
      <c r="G85" s="442">
        <f>Model!G48/Model!G10</f>
        <v>7.5801803400096138E-2</v>
      </c>
      <c r="H85" s="443">
        <f>Model!H48/Model!H10</f>
        <v>6.0185237358508184E-2</v>
      </c>
      <c r="I85" s="443">
        <f>Model!I48/Model!I10</f>
        <v>8.5581311109920691E-2</v>
      </c>
      <c r="J85" s="443">
        <f>Model!J48/Model!J10</f>
        <v>5.5741131201469021E-2</v>
      </c>
      <c r="K85" s="444">
        <f>Model!K48/Model!K10</f>
        <v>4.8350547644260403E-2</v>
      </c>
      <c r="L85" s="488">
        <v>0.05</v>
      </c>
      <c r="M85" s="489">
        <f>($R$85-$L$85)/6 + L85</f>
        <v>5.2500000000000005E-2</v>
      </c>
      <c r="N85" s="489">
        <f t="shared" ref="N85:Q85" si="40">($R$85-$L$85)/6 + M85</f>
        <v>5.5000000000000007E-2</v>
      </c>
      <c r="O85" s="489">
        <f t="shared" si="40"/>
        <v>5.7500000000000009E-2</v>
      </c>
      <c r="P85" s="489">
        <f t="shared" si="40"/>
        <v>6.0000000000000012E-2</v>
      </c>
      <c r="Q85" s="489">
        <f t="shared" si="40"/>
        <v>6.2500000000000014E-2</v>
      </c>
      <c r="R85" s="491">
        <v>6.5000000000000002E-2</v>
      </c>
    </row>
    <row r="86" spans="1:19" x14ac:dyDescent="0.45">
      <c r="G86" s="465"/>
      <c r="H86" s="472"/>
      <c r="I86" s="472"/>
      <c r="J86" s="472"/>
      <c r="K86" s="472"/>
      <c r="L86" s="473"/>
      <c r="M86" s="461"/>
      <c r="N86" s="461"/>
      <c r="O86" s="461"/>
      <c r="P86" s="461"/>
      <c r="Q86" s="471"/>
      <c r="R86" s="150"/>
    </row>
    <row r="87" spans="1:19" x14ac:dyDescent="0.45">
      <c r="B87" s="30" t="s">
        <v>168</v>
      </c>
      <c r="C87" s="35" t="s">
        <v>141</v>
      </c>
      <c r="E87" s="150"/>
      <c r="G87" s="442">
        <f>Model!G66/Model!G10</f>
        <v>9.5702742232610147E-2</v>
      </c>
      <c r="H87" s="443">
        <f>Model!H66/Model!H10</f>
        <v>7.5310432762509483E-2</v>
      </c>
      <c r="I87" s="443">
        <f>Model!I66/Model!I10</f>
        <v>7.7625064091281296E-2</v>
      </c>
      <c r="J87" s="443">
        <f>Model!J66/Model!J10</f>
        <v>7.4235384764444523E-2</v>
      </c>
      <c r="K87" s="444">
        <f>Model!K66/Model!K10</f>
        <v>9.8223317159520165E-2</v>
      </c>
      <c r="L87" s="488">
        <v>8.4000000000000005E-2</v>
      </c>
      <c r="M87" s="489">
        <f>L87</f>
        <v>8.4000000000000005E-2</v>
      </c>
      <c r="N87" s="489">
        <f t="shared" ref="N87" si="41">M87</f>
        <v>8.4000000000000005E-2</v>
      </c>
      <c r="O87" s="489">
        <f t="shared" ref="O87" si="42">N87</f>
        <v>8.4000000000000005E-2</v>
      </c>
      <c r="P87" s="489">
        <f t="shared" ref="P87" si="43">O87</f>
        <v>8.4000000000000005E-2</v>
      </c>
      <c r="Q87" s="489">
        <f t="shared" ref="Q87" si="44">P87</f>
        <v>8.4000000000000005E-2</v>
      </c>
      <c r="R87" s="490">
        <f t="shared" ref="R87" si="45">Q87</f>
        <v>8.4000000000000005E-2</v>
      </c>
    </row>
    <row r="88" spans="1:19" x14ac:dyDescent="0.45">
      <c r="G88" s="465"/>
      <c r="H88" s="472"/>
      <c r="I88" s="472"/>
      <c r="J88" s="472"/>
      <c r="K88" s="472"/>
      <c r="L88" s="473"/>
      <c r="M88" s="461"/>
      <c r="N88" s="461"/>
      <c r="O88" s="461"/>
      <c r="P88" s="474"/>
      <c r="Q88" s="150"/>
      <c r="R88" s="150"/>
    </row>
    <row r="89" spans="1:19" x14ac:dyDescent="0.45">
      <c r="B89" s="30" t="s">
        <v>211</v>
      </c>
      <c r="C89" s="35" t="s">
        <v>141</v>
      </c>
      <c r="E89" s="150"/>
      <c r="G89" s="442">
        <f>Model!G393/Model!G10</f>
        <v>0.3392009505911282</v>
      </c>
      <c r="H89" s="443">
        <f>Model!H393/Model!H10</f>
        <v>0.33871422154748698</v>
      </c>
      <c r="I89" s="443">
        <f>Model!I393/Model!I10</f>
        <v>0.29845364637938465</v>
      </c>
      <c r="J89" s="443">
        <f>Model!J393/Model!J10</f>
        <v>0.31107002302265818</v>
      </c>
      <c r="K89" s="444">
        <f>Model!K393/Model!K10</f>
        <v>0.32913084193390335</v>
      </c>
      <c r="L89" s="488">
        <v>0.33</v>
      </c>
      <c r="M89" s="489">
        <f>L89</f>
        <v>0.33</v>
      </c>
      <c r="N89" s="489">
        <f t="shared" ref="N89" si="46">M89</f>
        <v>0.33</v>
      </c>
      <c r="O89" s="489">
        <f t="shared" ref="O89" si="47">N89</f>
        <v>0.33</v>
      </c>
      <c r="P89" s="489">
        <f t="shared" ref="P89" si="48">O89</f>
        <v>0.33</v>
      </c>
      <c r="Q89" s="489">
        <f t="shared" ref="Q89" si="49">P89</f>
        <v>0.33</v>
      </c>
      <c r="R89" s="490">
        <f t="shared" ref="R89" si="50">Q89</f>
        <v>0.33</v>
      </c>
    </row>
    <row r="90" spans="1:19" x14ac:dyDescent="0.45">
      <c r="H90" s="91"/>
      <c r="I90" s="91"/>
      <c r="J90" s="91"/>
      <c r="K90" s="100"/>
      <c r="L90" s="92"/>
      <c r="M90" s="92"/>
      <c r="N90" s="92"/>
      <c r="O90" s="92"/>
      <c r="P90" s="93"/>
    </row>
    <row r="91" spans="1:19" ht="15" customHeight="1" x14ac:dyDescent="0.45">
      <c r="A91" s="1" t="s">
        <v>18</v>
      </c>
      <c r="B91" s="4" t="s">
        <v>96</v>
      </c>
      <c r="C91" s="435"/>
      <c r="D91" s="4"/>
      <c r="E91" s="4"/>
      <c r="F91" s="4"/>
      <c r="G91" s="4"/>
      <c r="H91" s="4"/>
      <c r="I91" s="4"/>
      <c r="J91" s="4"/>
      <c r="K91" s="4"/>
      <c r="L91" s="4"/>
      <c r="M91" s="4"/>
      <c r="N91" s="4"/>
      <c r="O91" s="4"/>
      <c r="P91" s="4"/>
      <c r="Q91" s="4"/>
      <c r="R91" s="4"/>
    </row>
    <row r="93" spans="1:19" x14ac:dyDescent="0.45">
      <c r="B93" s="64" t="s">
        <v>169</v>
      </c>
      <c r="G93" s="450"/>
      <c r="H93" s="450"/>
      <c r="I93" s="450"/>
      <c r="J93" s="450"/>
      <c r="K93" s="450"/>
      <c r="L93" s="498" cm="1">
        <f t="array" ref="L93">INDEX(L94:L96,$C$5)</f>
        <v>5.2999999999999999E-2</v>
      </c>
      <c r="M93" s="499" cm="1">
        <f t="array" ref="M93">INDEX(M94:M96,$C$5)</f>
        <v>5.0316666666666662E-2</v>
      </c>
      <c r="N93" s="499" cm="1">
        <f t="array" ref="N93">INDEX(N94:N96,$C$5)</f>
        <v>4.7633333333333333E-2</v>
      </c>
      <c r="O93" s="499" cm="1">
        <f t="array" ref="O93">INDEX(O94:O96,$C$5)</f>
        <v>4.4950000000000004E-2</v>
      </c>
      <c r="P93" s="499" cm="1">
        <f t="array" ref="P93">INDEX(P94:P96,$C$5)</f>
        <v>4.2266666666666675E-2</v>
      </c>
      <c r="Q93" s="499" cm="1">
        <f t="array" ref="Q93">INDEX(Q94:Q96,$C$5)</f>
        <v>3.9583333333333345E-2</v>
      </c>
      <c r="R93" s="500" cm="1">
        <f t="array" ref="R93">INDEX(R94:R96,$C$5)</f>
        <v>3.6900000000000002E-2</v>
      </c>
    </row>
    <row r="94" spans="1:19" x14ac:dyDescent="0.45">
      <c r="B94" s="57" t="s">
        <v>135</v>
      </c>
      <c r="C94" s="487">
        <v>-0.1</v>
      </c>
      <c r="G94" s="450"/>
      <c r="H94" s="450"/>
      <c r="I94" s="450"/>
      <c r="J94" s="450"/>
      <c r="K94" s="450"/>
      <c r="L94" s="475">
        <f>L95*(1+$C$94)</f>
        <v>4.7699999999999999E-2</v>
      </c>
      <c r="M94" s="454">
        <f t="shared" ref="M94:R94" si="51">M95*(1+$C$94)</f>
        <v>4.5284999999999999E-2</v>
      </c>
      <c r="N94" s="454">
        <f t="shared" si="51"/>
        <v>4.2869999999999998E-2</v>
      </c>
      <c r="O94" s="454">
        <f t="shared" si="51"/>
        <v>4.0455000000000005E-2</v>
      </c>
      <c r="P94" s="454">
        <f t="shared" si="51"/>
        <v>3.8040000000000011E-2</v>
      </c>
      <c r="Q94" s="454">
        <f t="shared" si="51"/>
        <v>3.5625000000000011E-2</v>
      </c>
      <c r="R94" s="463">
        <f t="shared" si="51"/>
        <v>3.3210000000000003E-2</v>
      </c>
    </row>
    <row r="95" spans="1:19" x14ac:dyDescent="0.45">
      <c r="B95" s="57" t="s">
        <v>136</v>
      </c>
      <c r="C95" s="487">
        <v>0</v>
      </c>
      <c r="E95" s="99"/>
      <c r="G95" s="450"/>
      <c r="H95" s="450"/>
      <c r="I95" s="450"/>
      <c r="J95" s="450"/>
      <c r="K95" s="450"/>
      <c r="L95" s="445">
        <v>5.2999999999999999E-2</v>
      </c>
      <c r="M95" s="456">
        <f>(($R$95-$L$95)/6)+L95</f>
        <v>5.0316666666666662E-2</v>
      </c>
      <c r="N95" s="456">
        <f t="shared" ref="N95:Q95" si="52">(($R$95-$L$95)/6)+M95</f>
        <v>4.7633333333333333E-2</v>
      </c>
      <c r="O95" s="456">
        <f t="shared" si="52"/>
        <v>4.4950000000000004E-2</v>
      </c>
      <c r="P95" s="456">
        <f t="shared" si="52"/>
        <v>4.2266666666666675E-2</v>
      </c>
      <c r="Q95" s="456">
        <f t="shared" si="52"/>
        <v>3.9583333333333345E-2</v>
      </c>
      <c r="R95" s="445">
        <v>3.6900000000000002E-2</v>
      </c>
      <c r="S95" s="150"/>
    </row>
    <row r="96" spans="1:19" x14ac:dyDescent="0.45">
      <c r="B96" s="57" t="s">
        <v>137</v>
      </c>
      <c r="C96" s="487">
        <v>0.1</v>
      </c>
      <c r="G96" s="450"/>
      <c r="H96" s="450"/>
      <c r="I96" s="450"/>
      <c r="J96" s="450"/>
      <c r="K96" s="450"/>
      <c r="L96" s="476">
        <f>L95*(1+$C$96)</f>
        <v>5.8300000000000005E-2</v>
      </c>
      <c r="M96" s="462">
        <f t="shared" ref="M96:R96" si="53">M95*(1+$C$96)</f>
        <v>5.5348333333333333E-2</v>
      </c>
      <c r="N96" s="462">
        <f t="shared" si="53"/>
        <v>5.2396666666666668E-2</v>
      </c>
      <c r="O96" s="462">
        <f t="shared" si="53"/>
        <v>4.944500000000001E-2</v>
      </c>
      <c r="P96" s="462">
        <f t="shared" si="53"/>
        <v>4.6493333333333345E-2</v>
      </c>
      <c r="Q96" s="462">
        <f t="shared" si="53"/>
        <v>4.3541666666666687E-2</v>
      </c>
      <c r="R96" s="464">
        <f t="shared" si="53"/>
        <v>4.0590000000000008E-2</v>
      </c>
    </row>
    <row r="97" spans="2:18" s="64" customFormat="1" x14ac:dyDescent="0.45">
      <c r="C97" s="158"/>
      <c r="G97" s="448"/>
      <c r="H97" s="448"/>
      <c r="I97" s="448"/>
      <c r="J97" s="448"/>
      <c r="K97" s="448"/>
      <c r="L97" s="448"/>
      <c r="M97" s="448"/>
      <c r="N97" s="448"/>
      <c r="O97" s="448"/>
      <c r="P97" s="448"/>
      <c r="Q97" s="448"/>
      <c r="R97" s="448"/>
    </row>
    <row r="98" spans="2:18" x14ac:dyDescent="0.45">
      <c r="B98" s="64" t="s">
        <v>170</v>
      </c>
      <c r="D98" s="384"/>
      <c r="G98" s="150"/>
      <c r="H98" s="150"/>
      <c r="I98" s="150"/>
      <c r="J98" s="150"/>
      <c r="K98" s="150"/>
      <c r="L98" s="150"/>
      <c r="M98" s="150"/>
      <c r="N98" s="150"/>
      <c r="O98" s="150"/>
      <c r="P98" s="150"/>
      <c r="Q98" s="150"/>
      <c r="R98" s="150"/>
    </row>
    <row r="99" spans="2:18" x14ac:dyDescent="0.45">
      <c r="B99" s="57" t="s">
        <v>1441</v>
      </c>
      <c r="C99" s="480">
        <v>0.05</v>
      </c>
      <c r="D99" s="131" t="s">
        <v>1440</v>
      </c>
      <c r="G99" s="450"/>
      <c r="H99" s="450"/>
      <c r="I99" s="450"/>
      <c r="J99" s="450"/>
      <c r="K99" s="450"/>
      <c r="L99" s="501">
        <f t="shared" ref="L99:R99" si="54">$C$99+L$93</f>
        <v>0.10300000000000001</v>
      </c>
      <c r="M99" s="494">
        <f t="shared" si="54"/>
        <v>0.10031666666666667</v>
      </c>
      <c r="N99" s="494">
        <f t="shared" si="54"/>
        <v>9.7633333333333336E-2</v>
      </c>
      <c r="O99" s="494">
        <f t="shared" si="54"/>
        <v>9.4950000000000007E-2</v>
      </c>
      <c r="P99" s="494">
        <f t="shared" si="54"/>
        <v>9.2266666666666677E-2</v>
      </c>
      <c r="Q99" s="494">
        <f t="shared" si="54"/>
        <v>8.9583333333333348E-2</v>
      </c>
      <c r="R99" s="495">
        <f t="shared" si="54"/>
        <v>8.6900000000000005E-2</v>
      </c>
    </row>
    <row r="100" spans="2:18" x14ac:dyDescent="0.45">
      <c r="B100" s="57"/>
      <c r="C100" s="480"/>
      <c r="D100" s="537">
        <v>6</v>
      </c>
      <c r="G100" s="150"/>
      <c r="H100" s="150"/>
      <c r="I100" s="150"/>
      <c r="J100" s="150"/>
      <c r="K100" s="150"/>
      <c r="L100"/>
      <c r="M100"/>
      <c r="N100"/>
      <c r="O100"/>
      <c r="P100"/>
      <c r="Q100"/>
      <c r="R100"/>
    </row>
    <row r="101" spans="2:18" x14ac:dyDescent="0.45">
      <c r="B101" s="57"/>
      <c r="C101" s="480"/>
      <c r="D101" s="539"/>
      <c r="G101" s="150"/>
      <c r="H101" s="150"/>
      <c r="I101" s="150"/>
      <c r="J101" s="150"/>
      <c r="K101" s="150"/>
      <c r="L101" s="150"/>
      <c r="M101" s="150"/>
      <c r="N101" s="150"/>
      <c r="O101" s="150"/>
      <c r="P101" s="150"/>
      <c r="Q101" s="150"/>
      <c r="R101" s="150"/>
    </row>
    <row r="102" spans="2:18" x14ac:dyDescent="0.45">
      <c r="B102" s="64" t="s">
        <v>34</v>
      </c>
      <c r="C102" s="434"/>
      <c r="G102" s="150"/>
      <c r="H102" s="150"/>
      <c r="I102" s="150"/>
      <c r="J102" s="150"/>
      <c r="K102" s="150"/>
      <c r="L102" s="150"/>
      <c r="M102" s="150"/>
      <c r="N102" s="150"/>
      <c r="O102" s="150"/>
      <c r="P102" s="150"/>
      <c r="Q102" s="150"/>
      <c r="R102" s="150"/>
    </row>
    <row r="103" spans="2:18" x14ac:dyDescent="0.45">
      <c r="B103" s="57" t="s">
        <v>1441</v>
      </c>
      <c r="C103" s="480">
        <f>'Transaction Details'!L49</f>
        <v>0.05</v>
      </c>
      <c r="D103" s="384"/>
      <c r="G103" s="450"/>
      <c r="H103" s="450"/>
      <c r="I103" s="450"/>
      <c r="J103" s="450"/>
      <c r="K103" s="450"/>
      <c r="L103" s="501">
        <f t="shared" ref="L103:R103" ca="1" si="55">L93+L104</f>
        <v>0.10300000000000001</v>
      </c>
      <c r="M103" s="506">
        <f t="shared" ca="1" si="55"/>
        <v>0.10031666666666667</v>
      </c>
      <c r="N103" s="506">
        <f t="shared" ca="1" si="55"/>
        <v>9.7633333333333336E-2</v>
      </c>
      <c r="O103" s="506">
        <f t="shared" ca="1" si="55"/>
        <v>9.4950000000000007E-2</v>
      </c>
      <c r="P103" s="506">
        <f t="shared" ca="1" si="55"/>
        <v>9.2266666666666677E-2</v>
      </c>
      <c r="Q103" s="506">
        <f t="shared" ca="1" si="55"/>
        <v>8.7083333333333346E-2</v>
      </c>
      <c r="R103" s="507">
        <f t="shared" ca="1" si="55"/>
        <v>8.4400000000000003E-2</v>
      </c>
    </row>
    <row r="104" spans="2:18" x14ac:dyDescent="0.45">
      <c r="B104" s="57" t="s">
        <v>171</v>
      </c>
      <c r="C104" s="480">
        <v>4.7500000000000001E-2</v>
      </c>
      <c r="D104" s="384"/>
      <c r="G104" s="150"/>
      <c r="H104" s="150"/>
      <c r="I104" s="150"/>
      <c r="J104" s="150"/>
      <c r="K104" s="150"/>
      <c r="L104" s="543">
        <f ca="1">IF(Model!L$463 &gt; 'Key Inputs and Drivers'!$D$100, $C$103, $C$104)</f>
        <v>0.05</v>
      </c>
      <c r="M104" s="543">
        <f ca="1">IF(Model!M$463 &gt; 'Key Inputs and Drivers'!$D$100, $C$103, $C$104)</f>
        <v>0.05</v>
      </c>
      <c r="N104" s="543">
        <f ca="1">IF(Model!N$463 &gt; 'Key Inputs and Drivers'!$D$100, $C$103, $C$104)</f>
        <v>0.05</v>
      </c>
      <c r="O104" s="543">
        <f ca="1">IF(Model!O$463 &gt; 'Key Inputs and Drivers'!$D$100, $C$103, $C$104)</f>
        <v>0.05</v>
      </c>
      <c r="P104" s="543">
        <f ca="1">IF(Model!P$463 &gt; 'Key Inputs and Drivers'!$D$100, $C$103, $C$104)</f>
        <v>0.05</v>
      </c>
      <c r="Q104" s="543">
        <f ca="1">IF(Model!Q$463 &gt; 'Key Inputs and Drivers'!$D$100, $C$103, $C$104)</f>
        <v>4.7500000000000001E-2</v>
      </c>
      <c r="R104" s="543">
        <f ca="1">IF(Model!R$463 &gt; 'Key Inputs and Drivers'!$D$100, $C$103, $C$104)</f>
        <v>4.7500000000000001E-2</v>
      </c>
    </row>
    <row r="105" spans="2:18" x14ac:dyDescent="0.45">
      <c r="B105" s="57"/>
      <c r="C105" s="480"/>
      <c r="G105" s="150"/>
      <c r="H105" s="150"/>
      <c r="I105" s="150"/>
      <c r="J105" s="150"/>
      <c r="K105" s="150"/>
      <c r="L105" s="538"/>
      <c r="M105" s="538"/>
      <c r="N105" s="538"/>
      <c r="O105" s="538"/>
      <c r="P105" s="538"/>
      <c r="Q105" s="538"/>
      <c r="R105" s="538"/>
    </row>
    <row r="106" spans="2:18" x14ac:dyDescent="0.45">
      <c r="B106" s="64" t="s">
        <v>372</v>
      </c>
      <c r="C106" s="480"/>
      <c r="G106" s="150"/>
      <c r="H106" s="150"/>
      <c r="I106" s="150"/>
      <c r="J106" s="150"/>
      <c r="K106" s="150"/>
      <c r="L106" s="461"/>
      <c r="M106" s="461"/>
      <c r="N106" s="461"/>
      <c r="O106" s="461"/>
      <c r="P106" s="461"/>
      <c r="Q106" s="461"/>
      <c r="R106" s="461"/>
    </row>
    <row r="107" spans="2:18" x14ac:dyDescent="0.45">
      <c r="B107" s="57" t="s">
        <v>1441</v>
      </c>
      <c r="C107" s="480">
        <f>'Transaction Details'!L50</f>
        <v>0.05</v>
      </c>
      <c r="G107" s="450"/>
      <c r="H107" s="450"/>
      <c r="I107" s="450"/>
      <c r="J107" s="450"/>
      <c r="K107" s="450"/>
      <c r="L107" s="501">
        <f t="shared" ref="L107:R107" ca="1" si="56">L108+L93</f>
        <v>0.10300000000000001</v>
      </c>
      <c r="M107" s="494">
        <f t="shared" ca="1" si="56"/>
        <v>0.10031666666666667</v>
      </c>
      <c r="N107" s="494">
        <f t="shared" ca="1" si="56"/>
        <v>9.7633333333333336E-2</v>
      </c>
      <c r="O107" s="494">
        <f t="shared" ca="1" si="56"/>
        <v>9.4950000000000007E-2</v>
      </c>
      <c r="P107" s="494">
        <f t="shared" ca="1" si="56"/>
        <v>9.2266666666666677E-2</v>
      </c>
      <c r="Q107" s="494">
        <f t="shared" ca="1" si="56"/>
        <v>8.7083333333333346E-2</v>
      </c>
      <c r="R107" s="495">
        <f t="shared" ca="1" si="56"/>
        <v>8.4400000000000003E-2</v>
      </c>
    </row>
    <row r="108" spans="2:18" x14ac:dyDescent="0.45">
      <c r="B108" s="57" t="s">
        <v>171</v>
      </c>
      <c r="C108" s="480">
        <v>4.7500000000000001E-2</v>
      </c>
      <c r="G108" s="150"/>
      <c r="H108" s="150"/>
      <c r="I108" s="150"/>
      <c r="J108" s="150"/>
      <c r="K108" s="150"/>
      <c r="L108" s="543">
        <f ca="1">IF(Model!L$463 &gt; 'Key Inputs and Drivers'!$D$100, $C$103, $C$104)</f>
        <v>0.05</v>
      </c>
      <c r="M108" s="543">
        <f ca="1">IF(Model!M$463 &gt; 'Key Inputs and Drivers'!$D$100, $C$103, $C$104)</f>
        <v>0.05</v>
      </c>
      <c r="N108" s="543">
        <f ca="1">IF(Model!N$463 &gt; 'Key Inputs and Drivers'!$D$100, $C$103, $C$104)</f>
        <v>0.05</v>
      </c>
      <c r="O108" s="543">
        <f ca="1">IF(Model!O$463 &gt; 'Key Inputs and Drivers'!$D$100, $C$103, $C$104)</f>
        <v>0.05</v>
      </c>
      <c r="P108" s="543">
        <f ca="1">IF(Model!P$463 &gt; 'Key Inputs and Drivers'!$D$100, $C$103, $C$104)</f>
        <v>0.05</v>
      </c>
      <c r="Q108" s="543">
        <f ca="1">IF(Model!Q$463 &gt; 'Key Inputs and Drivers'!$D$100, $C$103, $C$104)</f>
        <v>4.7500000000000001E-2</v>
      </c>
      <c r="R108" s="543">
        <f ca="1">IF(Model!R$463 &gt; 'Key Inputs and Drivers'!$D$100, $C$103, $C$104)</f>
        <v>4.7500000000000001E-2</v>
      </c>
    </row>
    <row r="109" spans="2:18" x14ac:dyDescent="0.45">
      <c r="B109" s="57"/>
      <c r="C109" s="480"/>
      <c r="G109" s="150"/>
      <c r="H109" s="150"/>
      <c r="I109" s="150"/>
      <c r="J109" s="150"/>
      <c r="K109" s="150"/>
      <c r="L109" s="461"/>
      <c r="M109" s="461"/>
      <c r="N109" s="461"/>
      <c r="O109" s="461"/>
      <c r="P109" s="461"/>
      <c r="Q109" s="461"/>
      <c r="R109" s="461"/>
    </row>
    <row r="110" spans="2:18" x14ac:dyDescent="0.45">
      <c r="B110" s="64" t="s">
        <v>172</v>
      </c>
      <c r="G110" s="450"/>
      <c r="H110" s="450"/>
      <c r="I110" s="450"/>
      <c r="J110" s="450"/>
      <c r="K110" s="450"/>
      <c r="L110" s="502">
        <v>0</v>
      </c>
      <c r="M110" s="503">
        <v>0</v>
      </c>
      <c r="N110" s="503">
        <v>0</v>
      </c>
      <c r="O110" s="503">
        <v>0</v>
      </c>
      <c r="P110" s="503">
        <v>0</v>
      </c>
      <c r="Q110" s="503">
        <v>0</v>
      </c>
      <c r="R110" s="504">
        <v>0</v>
      </c>
    </row>
    <row r="111" spans="2:18" x14ac:dyDescent="0.45">
      <c r="G111" s="150"/>
      <c r="H111" s="150"/>
      <c r="I111" s="150"/>
      <c r="J111" s="150"/>
      <c r="K111" s="150"/>
      <c r="L111" s="150"/>
      <c r="M111" s="150"/>
      <c r="N111" s="150"/>
      <c r="O111" s="150"/>
      <c r="P111" s="150"/>
      <c r="Q111" s="150"/>
      <c r="R111" s="150"/>
    </row>
    <row r="112" spans="2:18" x14ac:dyDescent="0.45">
      <c r="B112" s="64" t="s">
        <v>173</v>
      </c>
      <c r="G112" s="450"/>
      <c r="H112" s="450"/>
      <c r="I112" s="450"/>
      <c r="J112" s="450"/>
      <c r="K112" s="450"/>
      <c r="L112" s="502">
        <v>0</v>
      </c>
      <c r="M112" s="503">
        <v>0</v>
      </c>
      <c r="N112" s="503">
        <v>0</v>
      </c>
      <c r="O112" s="503">
        <v>0</v>
      </c>
      <c r="P112" s="503">
        <v>0</v>
      </c>
      <c r="Q112" s="503">
        <v>0</v>
      </c>
      <c r="R112" s="504">
        <v>0</v>
      </c>
    </row>
    <row r="113" spans="2:18" x14ac:dyDescent="0.45">
      <c r="G113" s="150"/>
      <c r="H113" s="150"/>
      <c r="I113" s="150"/>
      <c r="J113" s="150"/>
      <c r="K113" s="150"/>
      <c r="L113" s="150"/>
      <c r="M113" s="150"/>
      <c r="N113" s="150"/>
      <c r="O113" s="150"/>
      <c r="P113" s="150"/>
      <c r="Q113" s="150"/>
      <c r="R113" s="150"/>
    </row>
    <row r="114" spans="2:18" x14ac:dyDescent="0.45">
      <c r="B114" s="64" t="s">
        <v>174</v>
      </c>
      <c r="G114" s="477">
        <f>Model!G416</f>
        <v>0</v>
      </c>
      <c r="H114" s="478">
        <f>Model!H416</f>
        <v>2.2631679167835657E-2</v>
      </c>
      <c r="I114" s="478">
        <f>Model!I416</f>
        <v>2.0790434261344821E-2</v>
      </c>
      <c r="J114" s="478">
        <f>Model!J416</f>
        <v>3.4994685543717888E-2</v>
      </c>
      <c r="K114" s="479">
        <f>Model!K416</f>
        <v>6.7917962017810737E-2</v>
      </c>
      <c r="L114" s="505">
        <v>3.6600000000000001E-2</v>
      </c>
      <c r="M114" s="506">
        <f>L114</f>
        <v>3.6600000000000001E-2</v>
      </c>
      <c r="N114" s="506">
        <f t="shared" ref="N114:R114" si="57">M114</f>
        <v>3.6600000000000001E-2</v>
      </c>
      <c r="O114" s="506">
        <f t="shared" si="57"/>
        <v>3.6600000000000001E-2</v>
      </c>
      <c r="P114" s="506">
        <f t="shared" si="57"/>
        <v>3.6600000000000001E-2</v>
      </c>
      <c r="Q114" s="506">
        <f t="shared" si="57"/>
        <v>3.6600000000000001E-2</v>
      </c>
      <c r="R114" s="507">
        <f t="shared" si="57"/>
        <v>3.6600000000000001E-2</v>
      </c>
    </row>
    <row r="116" spans="2:18" x14ac:dyDescent="0.45">
      <c r="J116" s="229"/>
    </row>
  </sheetData>
  <mergeCells count="1">
    <mergeCell ref="B3:C3"/>
  </mergeCells>
  <pageMargins left="0.7" right="0.7" top="0.75" bottom="0.75" header="0.3" footer="0.3"/>
  <pageSetup paperSize="9" orientation="portrait" verticalDpi="0" r:id="rId1"/>
  <drawing r:id="rId2"/>
  <legacyDrawing r:id="rId3"/>
  <mc:AlternateContent xmlns:mc="http://schemas.openxmlformats.org/markup-compatibility/2006">
    <mc:Choice Requires="x14">
      <controls>
        <mc:AlternateContent xmlns:mc="http://schemas.openxmlformats.org/markup-compatibility/2006">
          <mc:Choice Requires="x14">
            <control shapeId="9310" r:id="rId4" name="Drop Down 94">
              <controlPr defaultSize="0" autoLine="0" autoPict="0">
                <anchor moveWithCells="1">
                  <from>
                    <xdr:col>2</xdr:col>
                    <xdr:colOff>23813</xdr:colOff>
                    <xdr:row>4</xdr:row>
                    <xdr:rowOff>23813</xdr:rowOff>
                  </from>
                  <to>
                    <xdr:col>2</xdr:col>
                    <xdr:colOff>1714500</xdr:colOff>
                    <xdr:row>5</xdr:row>
                    <xdr:rowOff>61913</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F51AE5-9CDD-4C28-9F12-24FB22881B35}">
  <dimension ref="A1:Y635"/>
  <sheetViews>
    <sheetView showGridLines="0" zoomScale="60" zoomScaleNormal="100" workbookViewId="0">
      <selection activeCell="B2" sqref="B2"/>
    </sheetView>
  </sheetViews>
  <sheetFormatPr defaultColWidth="15.33203125" defaultRowHeight="14.25" outlineLevelRow="1" x14ac:dyDescent="0.45"/>
  <cols>
    <col min="1" max="1" width="4.33203125" style="110" customWidth="1"/>
    <col min="2" max="2" width="32.33203125" style="110" customWidth="1"/>
    <col min="3" max="5" width="15.6640625" style="106" hidden="1" customWidth="1"/>
    <col min="6" max="6" width="22" style="106" customWidth="1"/>
    <col min="7" max="10" width="15.6640625" style="106" customWidth="1"/>
    <col min="11" max="11" width="18.33203125" style="106" bestFit="1" customWidth="1"/>
    <col min="12" max="18" width="15.6640625" style="106" customWidth="1"/>
    <col min="19" max="19" width="15.33203125" style="106" bestFit="1" customWidth="1"/>
    <col min="20" max="20" width="15.33203125" style="106"/>
    <col min="21" max="21" width="17" style="106" bestFit="1" customWidth="1"/>
    <col min="22" max="16384" width="15.33203125" style="106"/>
  </cols>
  <sheetData>
    <row r="1" spans="1:21" x14ac:dyDescent="0.45">
      <c r="A1" s="116"/>
      <c r="B1" s="111"/>
      <c r="C1" s="121"/>
      <c r="D1" s="121"/>
      <c r="E1" s="121"/>
    </row>
    <row r="2" spans="1:21" s="3" customFormat="1" ht="15" customHeight="1" x14ac:dyDescent="0.45">
      <c r="A2" s="1" t="s">
        <v>18</v>
      </c>
      <c r="B2" s="4" t="s">
        <v>175</v>
      </c>
      <c r="C2" s="4"/>
      <c r="D2" s="4"/>
      <c r="E2" s="4"/>
      <c r="F2" s="4"/>
      <c r="G2" s="4"/>
      <c r="H2" s="4"/>
      <c r="I2" s="4"/>
      <c r="J2" s="4"/>
      <c r="K2" s="4"/>
      <c r="L2" s="4"/>
      <c r="M2" s="4"/>
      <c r="N2" s="4"/>
      <c r="O2" s="4"/>
      <c r="P2" s="4"/>
      <c r="Q2" s="4"/>
      <c r="R2" s="4"/>
      <c r="S2" s="4"/>
      <c r="T2" s="4"/>
    </row>
    <row r="3" spans="1:21" s="3" customFormat="1" outlineLevel="1" x14ac:dyDescent="0.45">
      <c r="B3" s="617" t="s">
        <v>21</v>
      </c>
      <c r="C3" s="617"/>
      <c r="S3" s="615" t="s">
        <v>176</v>
      </c>
      <c r="T3" s="615"/>
    </row>
    <row r="4" spans="1:21" s="3" customFormat="1" ht="14.65" outlineLevel="1" thickBot="1" x14ac:dyDescent="0.5">
      <c r="G4" s="517" t="s">
        <v>112</v>
      </c>
      <c r="H4" s="427" t="s">
        <v>113</v>
      </c>
      <c r="I4" s="427" t="s">
        <v>114</v>
      </c>
      <c r="J4" s="427" t="s">
        <v>115</v>
      </c>
      <c r="K4" s="427" t="s">
        <v>116</v>
      </c>
      <c r="L4" s="101" t="s">
        <v>117</v>
      </c>
      <c r="M4" s="102">
        <v>2025</v>
      </c>
      <c r="N4" s="102">
        <f>M4+1</f>
        <v>2026</v>
      </c>
      <c r="O4" s="102">
        <f t="shared" ref="O4:P4" si="0">N4+1</f>
        <v>2027</v>
      </c>
      <c r="P4" s="102">
        <f t="shared" si="0"/>
        <v>2028</v>
      </c>
      <c r="Q4" s="102">
        <f>P4+1</f>
        <v>2029</v>
      </c>
      <c r="R4" s="102">
        <f>Q4+1</f>
        <v>2030</v>
      </c>
      <c r="S4" s="284">
        <f>S5</f>
        <v>45582</v>
      </c>
      <c r="T4" s="284">
        <f>T5</f>
        <v>45657</v>
      </c>
    </row>
    <row r="5" spans="1:21" s="3" customFormat="1" outlineLevel="1" x14ac:dyDescent="0.45">
      <c r="B5" s="64"/>
      <c r="F5" s="64" t="s">
        <v>119</v>
      </c>
      <c r="G5" s="425">
        <v>43830</v>
      </c>
      <c r="H5" s="425">
        <v>44196</v>
      </c>
      <c r="I5" s="425">
        <v>44561</v>
      </c>
      <c r="J5" s="425">
        <v>44926</v>
      </c>
      <c r="K5" s="425">
        <v>45291</v>
      </c>
      <c r="L5" s="425">
        <v>45657</v>
      </c>
      <c r="M5" s="425">
        <v>46022</v>
      </c>
      <c r="N5" s="425">
        <v>46387</v>
      </c>
      <c r="O5" s="425">
        <v>46752</v>
      </c>
      <c r="P5" s="425">
        <v>47118</v>
      </c>
      <c r="Q5" s="425">
        <v>47483</v>
      </c>
      <c r="R5" s="425">
        <v>47848</v>
      </c>
      <c r="S5" s="425">
        <v>45582</v>
      </c>
      <c r="T5" s="425">
        <v>45657</v>
      </c>
    </row>
    <row r="6" spans="1:21" s="3" customFormat="1" outlineLevel="1" x14ac:dyDescent="0.45">
      <c r="F6" s="64" t="s">
        <v>120</v>
      </c>
      <c r="G6" s="418">
        <v>365</v>
      </c>
      <c r="H6" s="288">
        <f>G6</f>
        <v>365</v>
      </c>
      <c r="I6" s="288">
        <f t="shared" ref="I6:R6" si="1">H6</f>
        <v>365</v>
      </c>
      <c r="J6" s="288">
        <f t="shared" si="1"/>
        <v>365</v>
      </c>
      <c r="K6" s="288">
        <f t="shared" si="1"/>
        <v>365</v>
      </c>
      <c r="L6" s="288">
        <f t="shared" si="1"/>
        <v>365</v>
      </c>
      <c r="M6" s="288">
        <f t="shared" si="1"/>
        <v>365</v>
      </c>
      <c r="N6" s="288">
        <f t="shared" si="1"/>
        <v>365</v>
      </c>
      <c r="O6" s="288">
        <f t="shared" si="1"/>
        <v>365</v>
      </c>
      <c r="P6" s="288">
        <f t="shared" si="1"/>
        <v>365</v>
      </c>
      <c r="Q6" s="288">
        <f t="shared" si="1"/>
        <v>365</v>
      </c>
      <c r="R6" s="288">
        <f t="shared" si="1"/>
        <v>365</v>
      </c>
      <c r="S6" s="288">
        <f>_xlfn.DAYS(S5,K5)</f>
        <v>291</v>
      </c>
      <c r="T6" s="288">
        <f>_xlfn.DAYS(T5,S5)</f>
        <v>75</v>
      </c>
    </row>
    <row r="7" spans="1:21" s="3" customFormat="1" outlineLevel="1" x14ac:dyDescent="0.45">
      <c r="B7" s="64"/>
      <c r="C7" s="287"/>
      <c r="F7" s="589" t="s">
        <v>122</v>
      </c>
      <c r="G7" s="439">
        <v>1</v>
      </c>
      <c r="H7" s="440">
        <f>YEARFRAC(G5,H5)</f>
        <v>1</v>
      </c>
      <c r="I7" s="440">
        <f t="shared" ref="I7:R7" si="2">YEARFRAC(H5,I5)</f>
        <v>1</v>
      </c>
      <c r="J7" s="440">
        <f t="shared" si="2"/>
        <v>1</v>
      </c>
      <c r="K7" s="440">
        <f t="shared" si="2"/>
        <v>1</v>
      </c>
      <c r="L7" s="440">
        <f t="shared" si="2"/>
        <v>1</v>
      </c>
      <c r="M7" s="440">
        <f t="shared" si="2"/>
        <v>1</v>
      </c>
      <c r="N7" s="440">
        <f t="shared" si="2"/>
        <v>1</v>
      </c>
      <c r="O7" s="440">
        <f t="shared" si="2"/>
        <v>1</v>
      </c>
      <c r="P7" s="440">
        <f t="shared" si="2"/>
        <v>1</v>
      </c>
      <c r="Q7" s="440">
        <f t="shared" si="2"/>
        <v>1</v>
      </c>
      <c r="R7" s="440">
        <f t="shared" si="2"/>
        <v>1</v>
      </c>
      <c r="S7" s="590">
        <f>'Transaction Details'!$H$30</f>
        <v>0.79722222222222228</v>
      </c>
      <c r="T7" s="590">
        <f>'Transaction Details'!$H$31</f>
        <v>0.20277777777777772</v>
      </c>
    </row>
    <row r="8" spans="1:21" s="3" customFormat="1" outlineLevel="1" x14ac:dyDescent="0.45">
      <c r="B8" s="64"/>
      <c r="F8" s="64" t="s">
        <v>123</v>
      </c>
      <c r="G8" s="426" t="s">
        <v>124</v>
      </c>
      <c r="H8" s="426" t="s">
        <v>124</v>
      </c>
      <c r="I8" s="426" t="s">
        <v>124</v>
      </c>
      <c r="J8" s="426" t="s">
        <v>124</v>
      </c>
      <c r="K8" s="426" t="s">
        <v>124</v>
      </c>
      <c r="L8" s="426" t="s">
        <v>124</v>
      </c>
      <c r="M8" s="426" t="s">
        <v>124</v>
      </c>
      <c r="N8" s="426" t="s">
        <v>124</v>
      </c>
      <c r="O8" s="426" t="s">
        <v>124</v>
      </c>
      <c r="P8" s="426" t="s">
        <v>124</v>
      </c>
      <c r="Q8" s="426" t="s">
        <v>124</v>
      </c>
      <c r="R8" s="426" t="s">
        <v>124</v>
      </c>
      <c r="S8" s="426" t="s">
        <v>124</v>
      </c>
      <c r="T8" s="426" t="s">
        <v>124</v>
      </c>
    </row>
    <row r="9" spans="1:21" outlineLevel="1" x14ac:dyDescent="0.45">
      <c r="A9" s="111"/>
      <c r="B9" s="116"/>
      <c r="F9" s="114"/>
      <c r="G9" s="115"/>
      <c r="H9" s="115"/>
      <c r="I9" s="115"/>
      <c r="J9" s="115"/>
      <c r="K9" s="115"/>
      <c r="L9" s="115"/>
      <c r="M9" s="115"/>
      <c r="N9" s="115"/>
      <c r="O9" s="115"/>
      <c r="P9" s="115"/>
      <c r="Q9" s="115"/>
      <c r="R9" s="115"/>
    </row>
    <row r="10" spans="1:21" outlineLevel="1" x14ac:dyDescent="0.45">
      <c r="A10" s="111"/>
      <c r="B10" s="124" t="s">
        <v>177</v>
      </c>
      <c r="C10" s="122"/>
      <c r="D10" s="122"/>
      <c r="E10" s="122"/>
      <c r="G10" s="545">
        <f>'Historical IS'!C17</f>
        <v>484751</v>
      </c>
      <c r="H10" s="545">
        <f>'Historical IS'!D17</f>
        <v>621149</v>
      </c>
      <c r="I10" s="545">
        <f>'Historical IS'!E17</f>
        <v>784038</v>
      </c>
      <c r="J10" s="545">
        <f>'Historical IS'!F17</f>
        <v>866972</v>
      </c>
      <c r="K10" s="545">
        <f>'Historical IS'!G17</f>
        <v>1012336</v>
      </c>
      <c r="L10" s="546">
        <f>L170</f>
        <v>1177716.0316533335</v>
      </c>
      <c r="M10" s="546">
        <f t="shared" ref="M10:R10" si="3">M170</f>
        <v>1304310.7606911066</v>
      </c>
      <c r="N10" s="546">
        <f t="shared" si="3"/>
        <v>1465297.1818150722</v>
      </c>
      <c r="O10" s="546">
        <f t="shared" si="3"/>
        <v>1666325.0837052155</v>
      </c>
      <c r="P10" s="546">
        <f t="shared" si="3"/>
        <v>1904591.5160761846</v>
      </c>
      <c r="Q10" s="546">
        <f t="shared" si="3"/>
        <v>2184085.1131414268</v>
      </c>
      <c r="R10" s="546">
        <f t="shared" si="3"/>
        <v>2521384.9434260121</v>
      </c>
      <c r="S10" s="546">
        <f>S170</f>
        <v>938901.39190140751</v>
      </c>
      <c r="T10" s="546">
        <f>T170</f>
        <v>238814.63975192586</v>
      </c>
      <c r="U10" s="338"/>
    </row>
    <row r="11" spans="1:21" outlineLevel="1" x14ac:dyDescent="0.45">
      <c r="A11" s="111"/>
      <c r="B11" s="124" t="s">
        <v>178</v>
      </c>
      <c r="C11" s="122"/>
      <c r="D11" s="122"/>
      <c r="E11" s="122"/>
      <c r="G11" s="544">
        <f>'Historical IS'!C19</f>
        <v>-81910</v>
      </c>
      <c r="H11" s="544">
        <f>'Historical IS'!D19</f>
        <v>-98337</v>
      </c>
      <c r="I11" s="544">
        <f>'Historical IS'!E19</f>
        <v>-126631</v>
      </c>
      <c r="J11" s="544">
        <f>'Historical IS'!F19</f>
        <v>-152655</v>
      </c>
      <c r="K11" s="544">
        <f>'Historical IS'!G19</f>
        <v>-207520</v>
      </c>
      <c r="L11" s="552">
        <f>L208</f>
        <v>-294429.00791333336</v>
      </c>
      <c r="M11" s="552">
        <f t="shared" ref="M11:R11" si="4">M208</f>
        <v>-311916.60191384458</v>
      </c>
      <c r="N11" s="552">
        <f t="shared" si="4"/>
        <v>-334506.41379149788</v>
      </c>
      <c r="O11" s="552">
        <f t="shared" si="4"/>
        <v>-362306.68248561962</v>
      </c>
      <c r="P11" s="552">
        <f t="shared" si="4"/>
        <v>-393434.19032088033</v>
      </c>
      <c r="Q11" s="552">
        <f t="shared" si="4"/>
        <v>-427456.65785767912</v>
      </c>
      <c r="R11" s="552">
        <f t="shared" si="4"/>
        <v>-438720.98015612608</v>
      </c>
      <c r="S11" s="552">
        <f>L11*$S$7</f>
        <v>-234725.34797535191</v>
      </c>
      <c r="T11" s="552">
        <f>L11*$T$7</f>
        <v>-59703.659937981472</v>
      </c>
      <c r="U11" s="338"/>
    </row>
    <row r="12" spans="1:21" outlineLevel="1" x14ac:dyDescent="0.45">
      <c r="A12" s="111"/>
      <c r="B12" s="123" t="s">
        <v>179</v>
      </c>
      <c r="C12" s="122"/>
      <c r="D12" s="122"/>
      <c r="E12" s="122"/>
      <c r="G12" s="546">
        <f>SUM(G10:G11)</f>
        <v>402841</v>
      </c>
      <c r="H12" s="546">
        <f t="shared" ref="H12:T12" si="5">SUM(H10:H11)</f>
        <v>522812</v>
      </c>
      <c r="I12" s="546">
        <f t="shared" si="5"/>
        <v>657407</v>
      </c>
      <c r="J12" s="546">
        <f t="shared" si="5"/>
        <v>714317</v>
      </c>
      <c r="K12" s="546">
        <f t="shared" si="5"/>
        <v>804816</v>
      </c>
      <c r="L12" s="546">
        <f t="shared" si="5"/>
        <v>883287.02374000009</v>
      </c>
      <c r="M12" s="546">
        <f t="shared" si="5"/>
        <v>992394.15877726197</v>
      </c>
      <c r="N12" s="546">
        <f t="shared" si="5"/>
        <v>1130790.7680235743</v>
      </c>
      <c r="O12" s="546">
        <f t="shared" si="5"/>
        <v>1304018.4012195959</v>
      </c>
      <c r="P12" s="546">
        <f t="shared" si="5"/>
        <v>1511157.3257553042</v>
      </c>
      <c r="Q12" s="546">
        <f t="shared" si="5"/>
        <v>1756628.4552837478</v>
      </c>
      <c r="R12" s="546">
        <f t="shared" si="5"/>
        <v>2082663.9632698861</v>
      </c>
      <c r="S12" s="546">
        <f t="shared" si="5"/>
        <v>704176.04392605554</v>
      </c>
      <c r="T12" s="546">
        <f t="shared" si="5"/>
        <v>179110.97981394437</v>
      </c>
    </row>
    <row r="13" spans="1:21" outlineLevel="1" x14ac:dyDescent="0.45">
      <c r="A13" s="111"/>
      <c r="B13" s="124"/>
      <c r="C13" s="122"/>
      <c r="D13" s="122"/>
      <c r="E13" s="122"/>
    </row>
    <row r="14" spans="1:21" outlineLevel="1" x14ac:dyDescent="0.45">
      <c r="A14" s="111"/>
      <c r="B14" s="123" t="s">
        <v>180</v>
      </c>
      <c r="C14" s="122"/>
      <c r="D14" s="122"/>
      <c r="E14" s="122"/>
    </row>
    <row r="15" spans="1:21" outlineLevel="1" x14ac:dyDescent="0.45">
      <c r="A15" s="111"/>
      <c r="B15" s="133" t="s">
        <v>181</v>
      </c>
      <c r="C15" s="122"/>
      <c r="D15" s="122"/>
      <c r="E15" s="122"/>
      <c r="G15" s="545">
        <f>'Historical IS'!C22</f>
        <v>-107645</v>
      </c>
      <c r="H15" s="545">
        <f>'Historical IS'!D22</f>
        <v>-167906</v>
      </c>
      <c r="I15" s="545">
        <f>'Historical IS'!E22</f>
        <v>-190371</v>
      </c>
      <c r="J15" s="545">
        <f>'Historical IS'!F22</f>
        <v>-227297</v>
      </c>
      <c r="K15" s="545">
        <f>'Historical IS'!G22</f>
        <v>-242188</v>
      </c>
      <c r="L15" s="546">
        <f>L216</f>
        <v>-282651.84759680001</v>
      </c>
      <c r="M15" s="546">
        <f t="shared" ref="M15:R15" si="6">M216</f>
        <v>-309307.9803924624</v>
      </c>
      <c r="N15" s="546">
        <f t="shared" si="6"/>
        <v>-343298.19688238832</v>
      </c>
      <c r="O15" s="546">
        <f t="shared" si="6"/>
        <v>-385635.23365749267</v>
      </c>
      <c r="P15" s="546">
        <f t="shared" si="6"/>
        <v>-435335.2036745564</v>
      </c>
      <c r="Q15" s="546">
        <f t="shared" si="6"/>
        <v>-492979.21125192195</v>
      </c>
      <c r="R15" s="546">
        <f t="shared" si="6"/>
        <v>-554704.68755372264</v>
      </c>
      <c r="S15" s="546">
        <f>S216</f>
        <v>-225336.3340563378</v>
      </c>
      <c r="T15" s="546">
        <f>T216</f>
        <v>-57315.513540462212</v>
      </c>
    </row>
    <row r="16" spans="1:21" outlineLevel="1" x14ac:dyDescent="0.45">
      <c r="A16" s="111"/>
      <c r="B16" s="133" t="s">
        <v>182</v>
      </c>
      <c r="C16" s="122"/>
      <c r="D16" s="122"/>
      <c r="E16" s="122"/>
      <c r="G16" s="545">
        <f>'Historical IS'!C21+'Historical IS'!C20</f>
        <v>-233856</v>
      </c>
      <c r="H16" s="545">
        <f>'Historical IS'!D21+'Historical IS'!D20</f>
        <v>-314686</v>
      </c>
      <c r="I16" s="545">
        <f>'Historical IS'!E21+'Historical IS'!E20</f>
        <v>-707910</v>
      </c>
      <c r="J16" s="545">
        <f>'Historical IS'!F21+'Historical IS'!F20</f>
        <v>-473671</v>
      </c>
      <c r="K16" s="545">
        <f>'Historical IS'!G21+'Historical IS'!G20</f>
        <v>-478900</v>
      </c>
      <c r="L16" s="546">
        <f>Model!L212</f>
        <v>-529972.21424400003</v>
      </c>
      <c r="M16" s="546">
        <f>Model!M212</f>
        <v>-565201.32963281288</v>
      </c>
      <c r="N16" s="546">
        <f>Model!N212</f>
        <v>-610540.49242294673</v>
      </c>
      <c r="O16" s="546">
        <f>Model!O212</f>
        <v>-666530.03348208626</v>
      </c>
      <c r="P16" s="546">
        <f>Model!P212</f>
        <v>-730093.41449587082</v>
      </c>
      <c r="Q16" s="546">
        <f>Model!Q212</f>
        <v>-800831.20815185655</v>
      </c>
      <c r="R16" s="546">
        <f>Model!R212</f>
        <v>-882484.73019910417</v>
      </c>
      <c r="S16" s="546">
        <f>S212</f>
        <v>-422505.62635563337</v>
      </c>
      <c r="T16" s="546">
        <f>T212</f>
        <v>-107466.58788836664</v>
      </c>
    </row>
    <row r="17" spans="1:20" outlineLevel="1" x14ac:dyDescent="0.45">
      <c r="A17" s="116"/>
      <c r="B17" s="133" t="s">
        <v>183</v>
      </c>
      <c r="C17" s="121"/>
      <c r="D17" s="121"/>
      <c r="E17" s="121"/>
      <c r="G17" s="553">
        <f>'Historical IS'!C23</f>
        <v>0</v>
      </c>
      <c r="H17" s="553">
        <f>'Historical IS'!D23</f>
        <v>0</v>
      </c>
      <c r="I17" s="553">
        <f>'Historical IS'!E23</f>
        <v>0</v>
      </c>
      <c r="J17" s="553">
        <f>'Historical IS'!F23</f>
        <v>-225163</v>
      </c>
      <c r="K17" s="553">
        <f>'Historical IS'!G23</f>
        <v>0</v>
      </c>
      <c r="L17" s="552">
        <f>K17</f>
        <v>0</v>
      </c>
      <c r="M17" s="552">
        <f t="shared" ref="M17:Q17" si="7">L17</f>
        <v>0</v>
      </c>
      <c r="N17" s="552">
        <f t="shared" si="7"/>
        <v>0</v>
      </c>
      <c r="O17" s="552">
        <f t="shared" si="7"/>
        <v>0</v>
      </c>
      <c r="P17" s="552">
        <f t="shared" si="7"/>
        <v>0</v>
      </c>
      <c r="Q17" s="552">
        <f t="shared" si="7"/>
        <v>0</v>
      </c>
      <c r="R17" s="552">
        <f t="shared" ref="R17" si="8">Q17</f>
        <v>0</v>
      </c>
      <c r="S17" s="552">
        <f t="shared" ref="S17" si="9">R17</f>
        <v>0</v>
      </c>
      <c r="T17" s="552">
        <f t="shared" ref="T17" si="10">S17</f>
        <v>0</v>
      </c>
    </row>
    <row r="18" spans="1:20" outlineLevel="1" x14ac:dyDescent="0.45">
      <c r="A18" s="116"/>
      <c r="B18" s="30" t="s">
        <v>184</v>
      </c>
      <c r="C18" s="121"/>
      <c r="D18" s="121"/>
      <c r="E18" s="121"/>
      <c r="G18" s="546">
        <f t="shared" ref="G18:L18" si="11">SUM(G15:G17)</f>
        <v>-341501</v>
      </c>
      <c r="H18" s="546">
        <f t="shared" si="11"/>
        <v>-482592</v>
      </c>
      <c r="I18" s="546">
        <f t="shared" si="11"/>
        <v>-898281</v>
      </c>
      <c r="J18" s="546">
        <f t="shared" si="11"/>
        <v>-926131</v>
      </c>
      <c r="K18" s="546">
        <f t="shared" si="11"/>
        <v>-721088</v>
      </c>
      <c r="L18" s="546">
        <f t="shared" si="11"/>
        <v>-812624.0618408001</v>
      </c>
      <c r="M18" s="546">
        <f t="shared" ref="M18:T18" si="12">SUM(M15:M17)</f>
        <v>-874509.31002527522</v>
      </c>
      <c r="N18" s="546">
        <f t="shared" si="12"/>
        <v>-953838.68930533505</v>
      </c>
      <c r="O18" s="546">
        <f t="shared" si="12"/>
        <v>-1052165.2671395789</v>
      </c>
      <c r="P18" s="546">
        <f t="shared" si="12"/>
        <v>-1165428.6181704272</v>
      </c>
      <c r="Q18" s="546">
        <f t="shared" si="12"/>
        <v>-1293810.4194037784</v>
      </c>
      <c r="R18" s="546">
        <f t="shared" si="12"/>
        <v>-1437189.4177528268</v>
      </c>
      <c r="S18" s="546">
        <f t="shared" si="12"/>
        <v>-647841.9604119712</v>
      </c>
      <c r="T18" s="546">
        <f t="shared" si="12"/>
        <v>-164782.10142882884</v>
      </c>
    </row>
    <row r="19" spans="1:20" outlineLevel="1" x14ac:dyDescent="0.45">
      <c r="A19" s="116"/>
      <c r="B19" s="133"/>
      <c r="C19" s="121"/>
      <c r="D19" s="121"/>
      <c r="E19" s="121"/>
      <c r="H19" s="125"/>
      <c r="I19" s="125"/>
      <c r="J19" s="125"/>
      <c r="K19" s="125"/>
      <c r="L19" s="125"/>
      <c r="M19" s="125"/>
      <c r="N19" s="125"/>
      <c r="O19" s="125"/>
      <c r="P19" s="125"/>
      <c r="Q19" s="125"/>
      <c r="R19" s="125"/>
      <c r="S19" s="125"/>
      <c r="T19" s="125"/>
    </row>
    <row r="20" spans="1:20" ht="14.65" outlineLevel="1" thickBot="1" x14ac:dyDescent="0.5">
      <c r="A20" s="107" t="s">
        <v>18</v>
      </c>
      <c r="B20" s="123" t="s">
        <v>185</v>
      </c>
      <c r="C20" s="121"/>
      <c r="D20" s="121"/>
      <c r="E20" s="121"/>
      <c r="G20" s="554">
        <f t="shared" ref="G20:T20" si="13">G12+G18</f>
        <v>61340</v>
      </c>
      <c r="H20" s="554">
        <f t="shared" si="13"/>
        <v>40220</v>
      </c>
      <c r="I20" s="554">
        <f t="shared" si="13"/>
        <v>-240874</v>
      </c>
      <c r="J20" s="554">
        <f t="shared" si="13"/>
        <v>-211814</v>
      </c>
      <c r="K20" s="554">
        <f t="shared" si="13"/>
        <v>83728</v>
      </c>
      <c r="L20" s="554">
        <f t="shared" si="13"/>
        <v>70662.961899199989</v>
      </c>
      <c r="M20" s="554">
        <f t="shared" si="13"/>
        <v>117884.84875198675</v>
      </c>
      <c r="N20" s="554">
        <f t="shared" si="13"/>
        <v>176952.07871823921</v>
      </c>
      <c r="O20" s="554">
        <f t="shared" si="13"/>
        <v>251853.13408001699</v>
      </c>
      <c r="P20" s="554">
        <f t="shared" si="13"/>
        <v>345728.70758487703</v>
      </c>
      <c r="Q20" s="554">
        <f t="shared" si="13"/>
        <v>462818.03587996936</v>
      </c>
      <c r="R20" s="554">
        <f t="shared" si="13"/>
        <v>645474.54551705928</v>
      </c>
      <c r="S20" s="554">
        <f t="shared" si="13"/>
        <v>56334.083514084341</v>
      </c>
      <c r="T20" s="554">
        <f t="shared" si="13"/>
        <v>14328.878385115531</v>
      </c>
    </row>
    <row r="21" spans="1:20" outlineLevel="1" x14ac:dyDescent="0.45">
      <c r="A21" s="116"/>
      <c r="B21" s="123"/>
      <c r="C21" s="121"/>
      <c r="D21" s="121"/>
      <c r="E21" s="121"/>
      <c r="H21" s="125"/>
      <c r="I21" s="125"/>
      <c r="J21" s="125"/>
      <c r="K21" s="125"/>
      <c r="L21" s="125"/>
      <c r="M21" s="125"/>
      <c r="N21" s="125"/>
      <c r="O21" s="125"/>
      <c r="P21" s="125"/>
      <c r="Q21" s="125"/>
      <c r="R21" s="125"/>
      <c r="S21" s="125"/>
      <c r="T21" s="125"/>
    </row>
    <row r="22" spans="1:20" outlineLevel="1" x14ac:dyDescent="0.45">
      <c r="A22" s="111"/>
      <c r="B22" s="25" t="s">
        <v>186</v>
      </c>
      <c r="C22" s="122"/>
      <c r="D22" s="122"/>
      <c r="E22" s="122"/>
      <c r="G22" s="545">
        <f>'Historical IS'!C24</f>
        <v>-1080</v>
      </c>
      <c r="H22" s="545">
        <f>'Historical IS'!D24</f>
        <v>-10043</v>
      </c>
      <c r="I22" s="545">
        <f>'Historical IS'!E24</f>
        <v>-11081</v>
      </c>
      <c r="J22" s="545">
        <f>'Historical IS'!F24</f>
        <v>-18207</v>
      </c>
      <c r="K22" s="545">
        <f>'Historical IS'!G24</f>
        <v>-36768</v>
      </c>
      <c r="L22" s="546">
        <f ca="1">IF('Key Inputs and Drivers'!$C$7=1,L564,0)</f>
        <v>-71597.301905277767</v>
      </c>
      <c r="M22" s="546">
        <f ca="1">IF('Key Inputs and Drivers'!$C$7=1,M564,0)</f>
        <v>-270592.87174849835</v>
      </c>
      <c r="N22" s="546">
        <f ca="1">IF('Key Inputs and Drivers'!$C$7=1,N564,0)</f>
        <v>-268640.3204731294</v>
      </c>
      <c r="O22" s="546">
        <f ca="1">IF('Key Inputs and Drivers'!$C$7=1,O564,0)</f>
        <v>-259313.80239935761</v>
      </c>
      <c r="P22" s="546">
        <f ca="1">IF('Key Inputs and Drivers'!$C$7=1,P564,0)</f>
        <v>-242041.65858280237</v>
      </c>
      <c r="Q22" s="546">
        <f ca="1">IF('Key Inputs and Drivers'!$C$7=1,Q564,0)</f>
        <v>-218595.7552153455</v>
      </c>
      <c r="R22" s="546">
        <f ca="1">IF('Key Inputs and Drivers'!$C$7=1,R564,0)</f>
        <v>-200041.20489535228</v>
      </c>
      <c r="S22" s="546">
        <f>IF('Key Inputs and Drivers'!$C$7=1,S564,0)</f>
        <v>-16249.107460833335</v>
      </c>
      <c r="T22" s="546">
        <f ca="1">IF('Key Inputs and Drivers'!$C$7=1,T564,0)</f>
        <v>-55348.194444444438</v>
      </c>
    </row>
    <row r="23" spans="1:20" outlineLevel="1" x14ac:dyDescent="0.45">
      <c r="A23" s="111"/>
      <c r="B23" s="362" t="s">
        <v>1437</v>
      </c>
      <c r="C23" s="122"/>
      <c r="D23" s="122"/>
      <c r="E23" s="122"/>
      <c r="G23" s="545">
        <v>0</v>
      </c>
      <c r="H23" s="545">
        <v>0</v>
      </c>
      <c r="I23" s="545">
        <v>0</v>
      </c>
      <c r="J23" s="545">
        <v>0</v>
      </c>
      <c r="K23" s="545">
        <v>0</v>
      </c>
      <c r="L23" s="546">
        <f ca="1">T23</f>
        <v>-105205.66609761775</v>
      </c>
      <c r="M23" s="546">
        <v>0</v>
      </c>
      <c r="N23" s="546">
        <v>0</v>
      </c>
      <c r="O23" s="546">
        <v>0</v>
      </c>
      <c r="P23" s="546">
        <v>0</v>
      </c>
      <c r="Q23" s="546">
        <v>0</v>
      </c>
      <c r="R23" s="546">
        <v>0</v>
      </c>
      <c r="S23" s="546">
        <v>0</v>
      </c>
      <c r="T23" s="545">
        <f ca="1">-'Transaction Details'!$O$29</f>
        <v>-105205.66609761775</v>
      </c>
    </row>
    <row r="24" spans="1:20" outlineLevel="1" x14ac:dyDescent="0.45">
      <c r="A24" s="111"/>
      <c r="B24" s="362" t="s">
        <v>1375</v>
      </c>
      <c r="C24" s="122"/>
      <c r="D24" s="122"/>
      <c r="E24" s="122"/>
      <c r="G24" s="545">
        <v>0</v>
      </c>
      <c r="H24" s="545">
        <v>0</v>
      </c>
      <c r="I24" s="545">
        <v>0</v>
      </c>
      <c r="J24" s="545">
        <v>0</v>
      </c>
      <c r="K24" s="545">
        <v>0</v>
      </c>
      <c r="L24" s="546">
        <f ca="1">L571</f>
        <v>-202.77777777777771</v>
      </c>
      <c r="M24" s="546">
        <f t="shared" ref="M24:T24" ca="1" si="14">M571</f>
        <v>-725.56503994857894</v>
      </c>
      <c r="N24" s="546">
        <f t="shared" ca="1" si="14"/>
        <v>-367.38713862430569</v>
      </c>
      <c r="O24" s="546">
        <f t="shared" ca="1" si="14"/>
        <v>-369.71814642666709</v>
      </c>
      <c r="P24" s="546">
        <f t="shared" ca="1" si="14"/>
        <v>-808.58064038282089</v>
      </c>
      <c r="Q24" s="546">
        <f t="shared" ca="1" si="14"/>
        <v>-3143.805470510486</v>
      </c>
      <c r="R24" s="546">
        <f t="shared" ca="1" si="14"/>
        <v>-6677.3016404474583</v>
      </c>
      <c r="S24" s="546">
        <f t="shared" si="14"/>
        <v>0</v>
      </c>
      <c r="T24" s="546">
        <f t="shared" ca="1" si="14"/>
        <v>-202.77777777777771</v>
      </c>
    </row>
    <row r="25" spans="1:20" outlineLevel="1" x14ac:dyDescent="0.45">
      <c r="A25" s="111"/>
      <c r="B25" s="25" t="s">
        <v>140</v>
      </c>
      <c r="C25" s="126"/>
      <c r="D25" s="126"/>
      <c r="E25" s="126"/>
      <c r="F25" s="125"/>
      <c r="G25" s="553">
        <f>'Historical IS'!C25</f>
        <v>3815</v>
      </c>
      <c r="H25" s="553">
        <f>'Historical IS'!D25</f>
        <v>-7678</v>
      </c>
      <c r="I25" s="553">
        <f>'Historical IS'!E25</f>
        <v>6631</v>
      </c>
      <c r="J25" s="553">
        <f>'Historical IS'!F25</f>
        <v>5030</v>
      </c>
      <c r="K25" s="553">
        <f>'Historical IS'!G25</f>
        <v>3362</v>
      </c>
      <c r="L25" s="552">
        <f>L220</f>
        <v>3533.1480949600004</v>
      </c>
      <c r="M25" s="552">
        <f t="shared" ref="M25:R25" si="15">M220</f>
        <v>3912.9322820733196</v>
      </c>
      <c r="N25" s="552">
        <f t="shared" si="15"/>
        <v>4395.8915454452163</v>
      </c>
      <c r="O25" s="552">
        <f t="shared" si="15"/>
        <v>4998.9752511156466</v>
      </c>
      <c r="P25" s="552">
        <f t="shared" si="15"/>
        <v>5713.7745482285536</v>
      </c>
      <c r="Q25" s="552">
        <f t="shared" si="15"/>
        <v>6552.2553394242805</v>
      </c>
      <c r="R25" s="552">
        <f t="shared" si="15"/>
        <v>7564.1548302780366</v>
      </c>
      <c r="S25" s="552">
        <f>S220</f>
        <v>2816.704175704223</v>
      </c>
      <c r="T25" s="552">
        <f>T220</f>
        <v>716.4439192557777</v>
      </c>
    </row>
    <row r="26" spans="1:20" outlineLevel="1" x14ac:dyDescent="0.45">
      <c r="A26" s="111"/>
      <c r="B26" s="123" t="s">
        <v>187</v>
      </c>
      <c r="C26" s="122"/>
      <c r="D26" s="122"/>
      <c r="E26" s="122"/>
      <c r="G26" s="546">
        <f t="shared" ref="G26:T26" si="16">SUM(G20,G22:G25)</f>
        <v>64075</v>
      </c>
      <c r="H26" s="546">
        <f t="shared" si="16"/>
        <v>22499</v>
      </c>
      <c r="I26" s="546">
        <f t="shared" si="16"/>
        <v>-245324</v>
      </c>
      <c r="J26" s="546">
        <f t="shared" si="16"/>
        <v>-224991</v>
      </c>
      <c r="K26" s="546">
        <f t="shared" si="16"/>
        <v>50322</v>
      </c>
      <c r="L26" s="546">
        <f t="shared" ca="1" si="16"/>
        <v>-102809.63578651332</v>
      </c>
      <c r="M26" s="546">
        <f t="shared" ca="1" si="16"/>
        <v>-149520.65575438688</v>
      </c>
      <c r="N26" s="546">
        <f t="shared" ca="1" si="16"/>
        <v>-87659.737348069277</v>
      </c>
      <c r="O26" s="546">
        <f t="shared" ca="1" si="16"/>
        <v>-2831.4112146516409</v>
      </c>
      <c r="P26" s="546">
        <f t="shared" ca="1" si="16"/>
        <v>108592.2429099204</v>
      </c>
      <c r="Q26" s="546">
        <f t="shared" ca="1" si="16"/>
        <v>247630.73053353766</v>
      </c>
      <c r="R26" s="546">
        <f t="shared" ca="1" si="16"/>
        <v>446320.19381153758</v>
      </c>
      <c r="S26" s="546">
        <f t="shared" si="16"/>
        <v>42901.680228955229</v>
      </c>
      <c r="T26" s="546">
        <f t="shared" ca="1" si="16"/>
        <v>-145711.31601546868</v>
      </c>
    </row>
    <row r="27" spans="1:20" outlineLevel="1" x14ac:dyDescent="0.45">
      <c r="A27" s="111"/>
      <c r="B27" s="123"/>
      <c r="C27" s="122"/>
      <c r="D27" s="122"/>
      <c r="E27" s="122"/>
    </row>
    <row r="28" spans="1:20" outlineLevel="1" x14ac:dyDescent="0.45">
      <c r="A28" s="111"/>
      <c r="B28" s="25" t="s">
        <v>142</v>
      </c>
      <c r="C28" s="122"/>
      <c r="D28" s="122"/>
      <c r="E28" s="122"/>
      <c r="G28" s="553">
        <f>'Historical IS'!C28</f>
        <v>-5923</v>
      </c>
      <c r="H28" s="553">
        <f>'Historical IS'!D28</f>
        <v>8089</v>
      </c>
      <c r="I28" s="553">
        <f>'Historical IS'!E28</f>
        <v>-3825</v>
      </c>
      <c r="J28" s="553">
        <f>'Historical IS'!F28</f>
        <v>-27230</v>
      </c>
      <c r="K28" s="553">
        <f>'Historical IS'!G28</f>
        <v>-57403</v>
      </c>
      <c r="L28" s="552">
        <f ca="1">L224</f>
        <v>10280.963578651332</v>
      </c>
      <c r="M28" s="552">
        <f t="shared" ref="M28:R28" ca="1" si="17">M224</f>
        <v>14952.06557543869</v>
      </c>
      <c r="N28" s="552">
        <f t="shared" ca="1" si="17"/>
        <v>8765.9737348069284</v>
      </c>
      <c r="O28" s="552">
        <f t="shared" ca="1" si="17"/>
        <v>283.14112146516408</v>
      </c>
      <c r="P28" s="552">
        <f t="shared" ca="1" si="17"/>
        <v>-10859.224290992041</v>
      </c>
      <c r="Q28" s="552">
        <f t="shared" ca="1" si="17"/>
        <v>-24763.073053353768</v>
      </c>
      <c r="R28" s="552">
        <f t="shared" ca="1" si="17"/>
        <v>-44632.019381153761</v>
      </c>
      <c r="S28" s="552">
        <f ca="1">S224</f>
        <v>8196.2126307581457</v>
      </c>
      <c r="T28" s="552">
        <f ca="1">T224</f>
        <v>2084.7509478931861</v>
      </c>
    </row>
    <row r="29" spans="1:20" ht="14.65" outlineLevel="1" thickBot="1" x14ac:dyDescent="0.5">
      <c r="A29" s="107" t="s">
        <v>18</v>
      </c>
      <c r="B29" s="123" t="s">
        <v>188</v>
      </c>
      <c r="C29" s="126"/>
      <c r="D29" s="126"/>
      <c r="E29" s="126"/>
      <c r="F29" s="125"/>
      <c r="G29" s="554">
        <f>SUM(G26:G28)</f>
        <v>58152</v>
      </c>
      <c r="H29" s="554">
        <f t="shared" ref="H29:T29" si="18">SUM(H26:H28)</f>
        <v>30588</v>
      </c>
      <c r="I29" s="554">
        <f t="shared" si="18"/>
        <v>-249149</v>
      </c>
      <c r="J29" s="554">
        <f t="shared" si="18"/>
        <v>-252221</v>
      </c>
      <c r="K29" s="554">
        <f t="shared" si="18"/>
        <v>-7081</v>
      </c>
      <c r="L29" s="554">
        <f t="shared" ca="1" si="18"/>
        <v>-92528.672207861993</v>
      </c>
      <c r="M29" s="554">
        <f t="shared" ca="1" si="18"/>
        <v>-134568.59017894819</v>
      </c>
      <c r="N29" s="554">
        <f t="shared" ca="1" si="18"/>
        <v>-78893.763613262345</v>
      </c>
      <c r="O29" s="554">
        <f t="shared" ca="1" si="18"/>
        <v>-2548.270093186477</v>
      </c>
      <c r="P29" s="554">
        <f t="shared" ca="1" si="18"/>
        <v>97733.018618928356</v>
      </c>
      <c r="Q29" s="554">
        <f t="shared" ca="1" si="18"/>
        <v>222867.6574801839</v>
      </c>
      <c r="R29" s="554">
        <f t="shared" ca="1" si="18"/>
        <v>401688.17443038383</v>
      </c>
      <c r="S29" s="554">
        <f t="shared" ca="1" si="18"/>
        <v>51097.892859713378</v>
      </c>
      <c r="T29" s="554">
        <f t="shared" ca="1" si="18"/>
        <v>-143626.56506757549</v>
      </c>
    </row>
    <row r="30" spans="1:20" outlineLevel="1" x14ac:dyDescent="0.45">
      <c r="A30" s="111"/>
      <c r="B30" s="123"/>
      <c r="C30" s="122"/>
      <c r="D30" s="122"/>
      <c r="E30" s="122"/>
    </row>
    <row r="31" spans="1:20" outlineLevel="1" x14ac:dyDescent="0.45">
      <c r="A31" s="116"/>
      <c r="B31" s="124" t="s">
        <v>189</v>
      </c>
      <c r="C31" s="121"/>
      <c r="D31" s="121"/>
      <c r="E31" s="121"/>
      <c r="G31" s="552">
        <f>G109</f>
        <v>18309</v>
      </c>
      <c r="H31" s="552">
        <f t="shared" ref="H31:K31" si="19">H109</f>
        <v>21703</v>
      </c>
      <c r="I31" s="552">
        <f t="shared" si="19"/>
        <v>32720</v>
      </c>
      <c r="J31" s="552">
        <f t="shared" si="19"/>
        <v>31617</v>
      </c>
      <c r="K31" s="552">
        <f t="shared" si="19"/>
        <v>43927</v>
      </c>
      <c r="L31" s="552">
        <f>-L236</f>
        <v>62579.209237984003</v>
      </c>
      <c r="M31" s="552">
        <f t="shared" ref="M31:T31" si="20">-M236</f>
        <v>81720.764301626652</v>
      </c>
      <c r="N31" s="552">
        <f t="shared" si="20"/>
        <v>76466.477537982835</v>
      </c>
      <c r="O31" s="552">
        <f t="shared" si="20"/>
        <v>63596.65773887535</v>
      </c>
      <c r="P31" s="552">
        <f t="shared" si="20"/>
        <v>68386.08588877233</v>
      </c>
      <c r="Q31" s="552">
        <f t="shared" si="20"/>
        <v>60831.108823674949</v>
      </c>
      <c r="R31" s="552">
        <f t="shared" si="20"/>
        <v>65838.984079344489</v>
      </c>
      <c r="S31" s="552">
        <f t="shared" si="20"/>
        <v>49889.536253615028</v>
      </c>
      <c r="T31" s="552">
        <f t="shared" si="20"/>
        <v>12689.672984368975</v>
      </c>
    </row>
    <row r="32" spans="1:20" outlineLevel="1" x14ac:dyDescent="0.45">
      <c r="A32" s="116"/>
      <c r="B32" s="123" t="s">
        <v>33</v>
      </c>
      <c r="C32" s="121"/>
      <c r="D32" s="121"/>
      <c r="E32" s="121"/>
      <c r="G32" s="546">
        <f t="shared" ref="G32:T32" si="21">G20+G31</f>
        <v>79649</v>
      </c>
      <c r="H32" s="546">
        <f t="shared" si="21"/>
        <v>61923</v>
      </c>
      <c r="I32" s="546">
        <f t="shared" si="21"/>
        <v>-208154</v>
      </c>
      <c r="J32" s="546">
        <f t="shared" si="21"/>
        <v>-180197</v>
      </c>
      <c r="K32" s="546">
        <f t="shared" si="21"/>
        <v>127655</v>
      </c>
      <c r="L32" s="546">
        <f t="shared" si="21"/>
        <v>133242.17113718399</v>
      </c>
      <c r="M32" s="546">
        <f t="shared" si="21"/>
        <v>199605.6130536134</v>
      </c>
      <c r="N32" s="546">
        <f t="shared" si="21"/>
        <v>253418.55625622204</v>
      </c>
      <c r="O32" s="546">
        <f t="shared" si="21"/>
        <v>315449.79181889235</v>
      </c>
      <c r="P32" s="546">
        <f t="shared" si="21"/>
        <v>414114.79347364936</v>
      </c>
      <c r="Q32" s="546">
        <f t="shared" si="21"/>
        <v>523649.14470364433</v>
      </c>
      <c r="R32" s="546">
        <f t="shared" si="21"/>
        <v>711313.52959640371</v>
      </c>
      <c r="S32" s="546">
        <f t="shared" si="21"/>
        <v>106223.61976769936</v>
      </c>
      <c r="T32" s="546">
        <f t="shared" si="21"/>
        <v>27018.551369484507</v>
      </c>
    </row>
    <row r="33" spans="1:20" x14ac:dyDescent="0.45">
      <c r="A33" s="111"/>
      <c r="B33" s="124"/>
      <c r="C33" s="122"/>
      <c r="D33" s="122"/>
      <c r="E33" s="122"/>
    </row>
    <row r="34" spans="1:20" ht="15" customHeight="1" x14ac:dyDescent="0.45">
      <c r="A34" s="107" t="s">
        <v>18</v>
      </c>
      <c r="B34" s="108" t="s">
        <v>190</v>
      </c>
      <c r="C34" s="109"/>
      <c r="D34" s="109"/>
      <c r="E34" s="109"/>
      <c r="F34" s="109"/>
      <c r="G34" s="109"/>
      <c r="H34" s="109"/>
      <c r="I34" s="109"/>
      <c r="J34" s="109"/>
      <c r="K34" s="109"/>
      <c r="L34" s="109"/>
      <c r="M34" s="109"/>
      <c r="N34" s="109"/>
      <c r="O34" s="109"/>
      <c r="P34" s="109"/>
      <c r="Q34" s="109"/>
      <c r="R34" s="109"/>
      <c r="S34" s="109"/>
      <c r="T34" s="109"/>
    </row>
    <row r="35" spans="1:20" outlineLevel="1" x14ac:dyDescent="0.45">
      <c r="A35" s="111"/>
      <c r="B35" s="616" t="s">
        <v>21</v>
      </c>
      <c r="C35" s="616"/>
      <c r="D35" s="122"/>
      <c r="E35" s="122"/>
      <c r="F35" s="3"/>
      <c r="G35" s="3"/>
      <c r="H35" s="3"/>
      <c r="I35" s="3"/>
      <c r="J35" s="3"/>
      <c r="K35" s="3"/>
      <c r="L35" s="3"/>
      <c r="M35" s="3"/>
      <c r="N35" s="3"/>
      <c r="O35" s="3"/>
      <c r="P35" s="3"/>
      <c r="Q35" s="3"/>
      <c r="R35" s="3"/>
      <c r="S35" s="615" t="s">
        <v>176</v>
      </c>
      <c r="T35" s="615"/>
    </row>
    <row r="36" spans="1:20" ht="14.65" outlineLevel="1" thickBot="1" x14ac:dyDescent="0.5">
      <c r="A36" s="111"/>
      <c r="B36" s="291"/>
      <c r="C36" s="291"/>
      <c r="D36" s="122"/>
      <c r="E36" s="122"/>
      <c r="F36" s="3"/>
      <c r="G36" s="517" t="s">
        <v>112</v>
      </c>
      <c r="H36" s="427" t="s">
        <v>113</v>
      </c>
      <c r="I36" s="427" t="s">
        <v>114</v>
      </c>
      <c r="J36" s="427" t="s">
        <v>115</v>
      </c>
      <c r="K36" s="427" t="s">
        <v>116</v>
      </c>
      <c r="L36" s="101" t="s">
        <v>117</v>
      </c>
      <c r="M36" s="102">
        <v>2025</v>
      </c>
      <c r="N36" s="102">
        <f>M36+1</f>
        <v>2026</v>
      </c>
      <c r="O36" s="102">
        <f t="shared" ref="O36" si="22">N36+1</f>
        <v>2027</v>
      </c>
      <c r="P36" s="102">
        <f t="shared" ref="P36" si="23">O36+1</f>
        <v>2028</v>
      </c>
      <c r="Q36" s="102">
        <f>P36+1</f>
        <v>2029</v>
      </c>
      <c r="R36" s="102">
        <f>Q36+1</f>
        <v>2030</v>
      </c>
      <c r="S36" s="284">
        <v>45582</v>
      </c>
      <c r="T36" s="284">
        <v>45657</v>
      </c>
    </row>
    <row r="37" spans="1:20" outlineLevel="1" x14ac:dyDescent="0.45">
      <c r="A37" s="111"/>
      <c r="B37" s="291"/>
      <c r="C37" s="291"/>
      <c r="D37" s="122"/>
      <c r="E37" s="122"/>
      <c r="F37" s="64" t="s">
        <v>119</v>
      </c>
      <c r="G37" s="425">
        <v>43830</v>
      </c>
      <c r="H37" s="425">
        <v>44196</v>
      </c>
      <c r="I37" s="425">
        <v>44561</v>
      </c>
      <c r="J37" s="425">
        <v>44926</v>
      </c>
      <c r="K37" s="425">
        <v>45291</v>
      </c>
      <c r="L37" s="425">
        <v>45657</v>
      </c>
      <c r="M37" s="425">
        <v>46022</v>
      </c>
      <c r="N37" s="425">
        <v>46387</v>
      </c>
      <c r="O37" s="425">
        <v>46752</v>
      </c>
      <c r="P37" s="425">
        <v>47118</v>
      </c>
      <c r="Q37" s="425">
        <v>47483</v>
      </c>
      <c r="R37" s="425">
        <v>47848</v>
      </c>
      <c r="S37" s="425">
        <v>45582</v>
      </c>
      <c r="T37" s="425">
        <v>45657</v>
      </c>
    </row>
    <row r="38" spans="1:20" outlineLevel="1" x14ac:dyDescent="0.45">
      <c r="A38" s="111"/>
      <c r="B38" s="291"/>
      <c r="C38" s="291"/>
      <c r="D38" s="122"/>
      <c r="E38" s="122"/>
      <c r="F38" s="64" t="s">
        <v>120</v>
      </c>
      <c r="G38" s="418">
        <v>365</v>
      </c>
      <c r="H38" s="288">
        <f>G38</f>
        <v>365</v>
      </c>
      <c r="I38" s="288">
        <f t="shared" ref="I38" si="24">H38</f>
        <v>365</v>
      </c>
      <c r="J38" s="288">
        <f t="shared" ref="J38" si="25">I38</f>
        <v>365</v>
      </c>
      <c r="K38" s="288">
        <f t="shared" ref="K38" si="26">J38</f>
        <v>365</v>
      </c>
      <c r="L38" s="288">
        <f t="shared" ref="L38" si="27">K38</f>
        <v>365</v>
      </c>
      <c r="M38" s="288">
        <f t="shared" ref="M38" si="28">L38</f>
        <v>365</v>
      </c>
      <c r="N38" s="288">
        <f t="shared" ref="N38" si="29">M38</f>
        <v>365</v>
      </c>
      <c r="O38" s="288">
        <f t="shared" ref="O38" si="30">N38</f>
        <v>365</v>
      </c>
      <c r="P38" s="288">
        <f t="shared" ref="P38" si="31">O38</f>
        <v>365</v>
      </c>
      <c r="Q38" s="288">
        <f t="shared" ref="Q38" si="32">P38</f>
        <v>365</v>
      </c>
      <c r="R38" s="288">
        <f t="shared" ref="R38" si="33">Q38</f>
        <v>365</v>
      </c>
      <c r="S38" s="288">
        <f>_xlfn.DAYS(S37,K37)</f>
        <v>291</v>
      </c>
      <c r="T38" s="288">
        <f>_xlfn.DAYS(T37,S37)</f>
        <v>75</v>
      </c>
    </row>
    <row r="39" spans="1:20" outlineLevel="1" x14ac:dyDescent="0.45">
      <c r="A39" s="111"/>
      <c r="B39" s="291"/>
      <c r="C39" s="291"/>
      <c r="D39" s="122"/>
      <c r="E39" s="122"/>
      <c r="F39" s="64" t="s">
        <v>122</v>
      </c>
      <c r="G39" s="439">
        <v>1</v>
      </c>
      <c r="H39" s="440">
        <f>YEARFRAC(G37,H37)</f>
        <v>1</v>
      </c>
      <c r="I39" s="440">
        <f t="shared" ref="I39" si="34">YEARFRAC(H37,I37)</f>
        <v>1</v>
      </c>
      <c r="J39" s="440">
        <f t="shared" ref="J39" si="35">YEARFRAC(I37,J37)</f>
        <v>1</v>
      </c>
      <c r="K39" s="440">
        <f t="shared" ref="K39" si="36">YEARFRAC(J37,K37)</f>
        <v>1</v>
      </c>
      <c r="L39" s="440">
        <f t="shared" ref="L39" si="37">YEARFRAC(K37,L37)</f>
        <v>1</v>
      </c>
      <c r="M39" s="440">
        <f t="shared" ref="M39" si="38">YEARFRAC(L37,M37)</f>
        <v>1</v>
      </c>
      <c r="N39" s="440">
        <f t="shared" ref="N39" si="39">YEARFRAC(M37,N37)</f>
        <v>1</v>
      </c>
      <c r="O39" s="440">
        <f t="shared" ref="O39" si="40">YEARFRAC(N37,O37)</f>
        <v>1</v>
      </c>
      <c r="P39" s="440">
        <f t="shared" ref="P39" si="41">YEARFRAC(O37,P37)</f>
        <v>1</v>
      </c>
      <c r="Q39" s="440">
        <f t="shared" ref="Q39" si="42">YEARFRAC(P37,Q37)</f>
        <v>1</v>
      </c>
      <c r="R39" s="440">
        <f t="shared" ref="R39" si="43">YEARFRAC(Q37,R37)</f>
        <v>1</v>
      </c>
      <c r="S39" s="590">
        <f>'Transaction Details'!$H$30</f>
        <v>0.79722222222222228</v>
      </c>
      <c r="T39" s="590">
        <f>'Transaction Details'!$H$31</f>
        <v>0.20277777777777772</v>
      </c>
    </row>
    <row r="40" spans="1:20" outlineLevel="1" x14ac:dyDescent="0.45">
      <c r="A40" s="111"/>
      <c r="B40" s="124"/>
      <c r="C40" s="122"/>
      <c r="D40" s="122"/>
      <c r="E40" s="122"/>
      <c r="F40" s="64" t="s">
        <v>123</v>
      </c>
      <c r="G40" s="426" t="s">
        <v>124</v>
      </c>
      <c r="H40" s="426" t="s">
        <v>124</v>
      </c>
      <c r="I40" s="426" t="s">
        <v>124</v>
      </c>
      <c r="J40" s="426" t="s">
        <v>124</v>
      </c>
      <c r="K40" s="426" t="s">
        <v>124</v>
      </c>
      <c r="L40" s="426" t="s">
        <v>124</v>
      </c>
      <c r="M40" s="426" t="s">
        <v>124</v>
      </c>
      <c r="N40" s="426" t="s">
        <v>124</v>
      </c>
      <c r="O40" s="426" t="s">
        <v>124</v>
      </c>
      <c r="P40" s="426" t="s">
        <v>124</v>
      </c>
      <c r="Q40" s="426" t="s">
        <v>124</v>
      </c>
      <c r="R40" s="426" t="s">
        <v>124</v>
      </c>
      <c r="S40" s="426" t="s">
        <v>124</v>
      </c>
      <c r="T40" s="426" t="s">
        <v>124</v>
      </c>
    </row>
    <row r="41" spans="1:20" outlineLevel="1" x14ac:dyDescent="0.45">
      <c r="A41" s="111"/>
      <c r="B41" s="124"/>
      <c r="C41" s="122"/>
      <c r="D41" s="122"/>
      <c r="E41" s="122"/>
      <c r="F41" s="64"/>
      <c r="G41" s="103"/>
      <c r="H41" s="103"/>
      <c r="I41" s="103"/>
      <c r="J41" s="103"/>
      <c r="K41" s="103"/>
      <c r="L41" s="103"/>
      <c r="M41" s="103"/>
      <c r="N41" s="103"/>
      <c r="O41" s="103"/>
      <c r="P41" s="103"/>
      <c r="Q41" s="103"/>
      <c r="R41" s="103"/>
      <c r="S41" s="103"/>
      <c r="T41" s="103"/>
    </row>
    <row r="42" spans="1:20" outlineLevel="1" x14ac:dyDescent="0.45">
      <c r="A42" s="111"/>
      <c r="B42" s="123" t="s">
        <v>1439</v>
      </c>
      <c r="C42" s="122"/>
      <c r="D42" s="122"/>
      <c r="E42" s="122"/>
      <c r="F42" s="64"/>
      <c r="G42" s="210">
        <f>SUM(G45,G49)</f>
        <v>120433</v>
      </c>
      <c r="H42" s="211">
        <f t="shared" ref="H42:T42" si="44">SUM(H45,H49)</f>
        <v>95353</v>
      </c>
      <c r="I42" s="211">
        <f t="shared" si="44"/>
        <v>265136</v>
      </c>
      <c r="J42" s="211">
        <f t="shared" si="44"/>
        <v>264377</v>
      </c>
      <c r="K42" s="211">
        <f t="shared" si="44"/>
        <v>294285</v>
      </c>
      <c r="L42" s="211">
        <f t="shared" ca="1" si="44"/>
        <v>51131.438354750804</v>
      </c>
      <c r="M42" s="211">
        <f t="shared" ca="1" si="44"/>
        <v>77556</v>
      </c>
      <c r="N42" s="211">
        <f t="shared" ca="1" si="44"/>
        <v>77556</v>
      </c>
      <c r="O42" s="211">
        <f ca="1">SUM(O45,O49)</f>
        <v>77556</v>
      </c>
      <c r="P42" s="211">
        <f t="shared" ca="1" si="44"/>
        <v>77556</v>
      </c>
      <c r="Q42" s="211">
        <f t="shared" ca="1" si="44"/>
        <v>197633.28564968749</v>
      </c>
      <c r="R42" s="211">
        <f t="shared" ca="1" si="44"/>
        <v>374585.68530326779</v>
      </c>
      <c r="S42" s="211">
        <f t="shared" ca="1" si="44"/>
        <v>368739.41795822652</v>
      </c>
      <c r="T42" s="212">
        <f t="shared" ca="1" si="44"/>
        <v>51131.39835475065</v>
      </c>
    </row>
    <row r="43" spans="1:20" outlineLevel="1" x14ac:dyDescent="0.45">
      <c r="A43" s="111"/>
      <c r="B43" s="124"/>
      <c r="C43" s="122"/>
      <c r="D43" s="122"/>
      <c r="E43" s="122"/>
      <c r="F43" s="64"/>
      <c r="G43" s="103"/>
      <c r="H43" s="103"/>
      <c r="I43" s="103"/>
      <c r="J43" s="103"/>
      <c r="K43" s="103"/>
      <c r="L43" s="103"/>
      <c r="M43" s="103"/>
      <c r="N43" s="103"/>
      <c r="O43" s="103"/>
      <c r="P43" s="103"/>
      <c r="Q43" s="103"/>
      <c r="R43" s="103"/>
      <c r="S43" s="103"/>
      <c r="T43" s="103"/>
    </row>
    <row r="44" spans="1:20" outlineLevel="1" x14ac:dyDescent="0.45">
      <c r="A44" s="107" t="s">
        <v>18</v>
      </c>
      <c r="B44" s="48" t="s">
        <v>191</v>
      </c>
      <c r="C44" s="122"/>
      <c r="D44" s="122"/>
      <c r="E44" s="122"/>
    </row>
    <row r="45" spans="1:20" outlineLevel="1" x14ac:dyDescent="0.45">
      <c r="A45" s="111"/>
      <c r="B45" s="135" t="s">
        <v>192</v>
      </c>
      <c r="C45" s="122"/>
      <c r="D45" s="122"/>
      <c r="E45" s="122"/>
      <c r="G45" s="545">
        <f>'Historical BS'!C18+'Historical BS'!C19</f>
        <v>120433</v>
      </c>
      <c r="H45" s="545">
        <f>'Historical BS'!D18+'Historical BS'!D19</f>
        <v>95353</v>
      </c>
      <c r="I45" s="545">
        <f>'Historical BS'!E18+'Historical BS'!E19</f>
        <v>234703</v>
      </c>
      <c r="J45" s="545">
        <f>'Historical BS'!F18+'Historical BS'!F19</f>
        <v>228794</v>
      </c>
      <c r="K45" s="545">
        <f>'Historical BS'!G18+'Historical BS'!G19</f>
        <v>257702</v>
      </c>
      <c r="L45" s="546">
        <f t="shared" ref="L45:T45" ca="1" si="45">L159</f>
        <v>12353.438354750804</v>
      </c>
      <c r="M45" s="546">
        <f t="shared" ca="1" si="45"/>
        <v>38778</v>
      </c>
      <c r="N45" s="546">
        <f t="shared" ca="1" si="45"/>
        <v>38778</v>
      </c>
      <c r="O45" s="546">
        <f ca="1">O159</f>
        <v>38778</v>
      </c>
      <c r="P45" s="546">
        <f t="shared" ca="1" si="45"/>
        <v>38778</v>
      </c>
      <c r="Q45" s="546">
        <f t="shared" ca="1" si="45"/>
        <v>158855.28564968749</v>
      </c>
      <c r="R45" s="546">
        <f t="shared" ca="1" si="45"/>
        <v>335807.68530326779</v>
      </c>
      <c r="S45" s="546">
        <f t="shared" ca="1" si="45"/>
        <v>329961.41795822652</v>
      </c>
      <c r="T45" s="546">
        <f t="shared" ca="1" si="45"/>
        <v>12353.39835475065</v>
      </c>
    </row>
    <row r="46" spans="1:20" outlineLevel="1" x14ac:dyDescent="0.45">
      <c r="A46" s="111"/>
      <c r="B46" s="135" t="s">
        <v>193</v>
      </c>
      <c r="C46" s="122"/>
      <c r="D46" s="122"/>
      <c r="E46" s="122"/>
      <c r="G46" s="545">
        <f>'Historical BS'!C20</f>
        <v>4573</v>
      </c>
      <c r="H46" s="545">
        <f>'Historical BS'!D20</f>
        <v>7516</v>
      </c>
      <c r="I46" s="545">
        <f>'Historical BS'!E20</f>
        <v>7969</v>
      </c>
      <c r="J46" s="545">
        <f>'Historical BS'!F20</f>
        <v>10748</v>
      </c>
      <c r="K46" s="545">
        <f>'Historical BS'!G20</f>
        <v>24894</v>
      </c>
      <c r="L46" s="546">
        <f>L387</f>
        <v>25812.954118429225</v>
      </c>
      <c r="M46" s="546">
        <f t="shared" ref="M46:T46" si="46">M387</f>
        <v>26800.906041598078</v>
      </c>
      <c r="N46" s="546">
        <f t="shared" si="46"/>
        <v>28101.589788234262</v>
      </c>
      <c r="O46" s="546">
        <f t="shared" si="46"/>
        <v>29674.282312558636</v>
      </c>
      <c r="P46" s="546">
        <f t="shared" si="46"/>
        <v>31308.35368892358</v>
      </c>
      <c r="Q46" s="546">
        <f t="shared" si="46"/>
        <v>32910.871567884518</v>
      </c>
      <c r="R46" s="546">
        <f t="shared" si="46"/>
        <v>34539.519772959073</v>
      </c>
      <c r="S46" s="546">
        <f t="shared" si="46"/>
        <v>25626.61064441441</v>
      </c>
      <c r="T46" s="546">
        <f t="shared" si="46"/>
        <v>25812.954118429225</v>
      </c>
    </row>
    <row r="47" spans="1:20" outlineLevel="1" x14ac:dyDescent="0.45">
      <c r="A47" s="111"/>
      <c r="B47" s="135" t="s">
        <v>166</v>
      </c>
      <c r="C47" s="122"/>
      <c r="D47" s="122"/>
      <c r="E47" s="122"/>
      <c r="G47" s="545">
        <f>'Historical BS'!C21</f>
        <v>0</v>
      </c>
      <c r="H47" s="545">
        <f>'Historical BS'!D21</f>
        <v>0</v>
      </c>
      <c r="I47" s="545">
        <f>'Historical BS'!E21</f>
        <v>1828</v>
      </c>
      <c r="J47" s="545">
        <f>'Historical BS'!F21</f>
        <v>4442</v>
      </c>
      <c r="K47" s="545">
        <f>'Historical BS'!G21</f>
        <v>6089</v>
      </c>
      <c r="L47" s="546">
        <f>L388</f>
        <v>5888.5801582666672</v>
      </c>
      <c r="M47" s="546">
        <f t="shared" ref="M47:T47" si="47">M388</f>
        <v>6521.5538034555329</v>
      </c>
      <c r="N47" s="546">
        <f t="shared" si="47"/>
        <v>7326.4859090753607</v>
      </c>
      <c r="O47" s="546">
        <f t="shared" si="47"/>
        <v>8331.6254185260768</v>
      </c>
      <c r="P47" s="546">
        <f t="shared" si="47"/>
        <v>9522.9575803809239</v>
      </c>
      <c r="Q47" s="546">
        <f t="shared" si="47"/>
        <v>10920.425565707134</v>
      </c>
      <c r="R47" s="546">
        <f t="shared" si="47"/>
        <v>12606.924717130061</v>
      </c>
      <c r="S47" s="546">
        <f t="shared" si="47"/>
        <v>5929.2208483959266</v>
      </c>
      <c r="T47" s="546">
        <f t="shared" si="47"/>
        <v>5888.5801582666672</v>
      </c>
    </row>
    <row r="48" spans="1:20" outlineLevel="1" x14ac:dyDescent="0.45">
      <c r="A48" s="111"/>
      <c r="B48" s="135" t="s">
        <v>194</v>
      </c>
      <c r="C48" s="122"/>
      <c r="D48" s="122"/>
      <c r="E48" s="122"/>
      <c r="G48" s="545">
        <f>'Historical BS'!C22</f>
        <v>36745</v>
      </c>
      <c r="H48" s="545">
        <f>'Historical BS'!D22</f>
        <v>37384</v>
      </c>
      <c r="I48" s="545">
        <f>'Historical BS'!E22</f>
        <v>67099</v>
      </c>
      <c r="J48" s="545">
        <f>'Historical BS'!F22</f>
        <v>48326</v>
      </c>
      <c r="K48" s="545">
        <f>'Historical BS'!G22</f>
        <v>48947</v>
      </c>
      <c r="L48" s="546">
        <f>L389</f>
        <v>58885.801582666674</v>
      </c>
      <c r="M48" s="546">
        <f t="shared" ref="M48:T48" si="48">M389</f>
        <v>68476.314936283103</v>
      </c>
      <c r="N48" s="546">
        <f t="shared" si="48"/>
        <v>80591.344999828987</v>
      </c>
      <c r="O48" s="546">
        <f t="shared" si="48"/>
        <v>95813.692313049905</v>
      </c>
      <c r="P48" s="546">
        <f t="shared" si="48"/>
        <v>114275.4909645711</v>
      </c>
      <c r="Q48" s="546">
        <f t="shared" si="48"/>
        <v>136505.31957133921</v>
      </c>
      <c r="R48" s="546">
        <f t="shared" si="48"/>
        <v>163890.02132269079</v>
      </c>
      <c r="S48" s="546">
        <f t="shared" si="48"/>
        <v>56870.433483959263</v>
      </c>
      <c r="T48" s="546">
        <f t="shared" si="48"/>
        <v>58885.801582666674</v>
      </c>
    </row>
    <row r="49" spans="1:20" outlineLevel="1" x14ac:dyDescent="0.45">
      <c r="A49" s="111"/>
      <c r="B49" s="135" t="s">
        <v>195</v>
      </c>
      <c r="C49" s="122"/>
      <c r="D49" s="122"/>
      <c r="E49" s="122"/>
      <c r="G49" s="553">
        <f>'Historical BS'!C23</f>
        <v>0</v>
      </c>
      <c r="H49" s="553">
        <f>'Historical BS'!D23</f>
        <v>0</v>
      </c>
      <c r="I49" s="553">
        <f>'Historical BS'!E23</f>
        <v>30433</v>
      </c>
      <c r="J49" s="553">
        <f>'Historical BS'!F23</f>
        <v>35583</v>
      </c>
      <c r="K49" s="553">
        <f>'Historical BS'!G23</f>
        <v>36583</v>
      </c>
      <c r="L49" s="552">
        <f>T49</f>
        <v>38778</v>
      </c>
      <c r="M49" s="552">
        <f>L49</f>
        <v>38778</v>
      </c>
      <c r="N49" s="552">
        <f t="shared" ref="N49:R49" si="49">M49</f>
        <v>38778</v>
      </c>
      <c r="O49" s="552">
        <f t="shared" si="49"/>
        <v>38778</v>
      </c>
      <c r="P49" s="552">
        <f t="shared" si="49"/>
        <v>38778</v>
      </c>
      <c r="Q49" s="552">
        <f t="shared" si="49"/>
        <v>38778</v>
      </c>
      <c r="R49" s="552">
        <f t="shared" si="49"/>
        <v>38778</v>
      </c>
      <c r="S49" s="553">
        <f>'Historical BS'!J23</f>
        <v>38778</v>
      </c>
      <c r="T49" s="552">
        <f>S49</f>
        <v>38778</v>
      </c>
    </row>
    <row r="50" spans="1:20" outlineLevel="1" x14ac:dyDescent="0.45">
      <c r="A50" s="111"/>
      <c r="B50" s="48" t="s">
        <v>196</v>
      </c>
      <c r="C50" s="122"/>
      <c r="D50" s="122"/>
      <c r="E50" s="122"/>
      <c r="G50" s="546">
        <f>SUM(G45:G49)</f>
        <v>161751</v>
      </c>
      <c r="H50" s="546">
        <f t="shared" ref="H50:T50" si="50">SUM(H45:H49)</f>
        <v>140253</v>
      </c>
      <c r="I50" s="546">
        <f t="shared" si="50"/>
        <v>342032</v>
      </c>
      <c r="J50" s="546">
        <f t="shared" si="50"/>
        <v>327893</v>
      </c>
      <c r="K50" s="546">
        <f t="shared" si="50"/>
        <v>374215</v>
      </c>
      <c r="L50" s="546">
        <f t="shared" ca="1" si="50"/>
        <v>141718.77421411336</v>
      </c>
      <c r="M50" s="546">
        <f t="shared" ca="1" si="50"/>
        <v>179354.77478133672</v>
      </c>
      <c r="N50" s="546">
        <f t="shared" ca="1" si="50"/>
        <v>193575.42069713862</v>
      </c>
      <c r="O50" s="546">
        <f ca="1">SUM(O45:O49)</f>
        <v>211375.60004413463</v>
      </c>
      <c r="P50" s="546">
        <f t="shared" ca="1" si="50"/>
        <v>232662.80223387561</v>
      </c>
      <c r="Q50" s="546">
        <f t="shared" ca="1" si="50"/>
        <v>377969.9023546183</v>
      </c>
      <c r="R50" s="546">
        <f t="shared" ca="1" si="50"/>
        <v>585622.15111604775</v>
      </c>
      <c r="S50" s="546">
        <f t="shared" ca="1" si="50"/>
        <v>457165.68293499621</v>
      </c>
      <c r="T50" s="546">
        <f t="shared" ca="1" si="50"/>
        <v>141718.73421411321</v>
      </c>
    </row>
    <row r="51" spans="1:20" outlineLevel="1" x14ac:dyDescent="0.45">
      <c r="A51" s="111"/>
      <c r="B51" s="48"/>
      <c r="C51" s="122"/>
      <c r="D51" s="122"/>
      <c r="E51" s="122"/>
    </row>
    <row r="52" spans="1:20" outlineLevel="1" x14ac:dyDescent="0.45">
      <c r="A52" s="107" t="s">
        <v>18</v>
      </c>
      <c r="B52" s="48" t="s">
        <v>197</v>
      </c>
      <c r="C52" s="122"/>
      <c r="D52" s="122"/>
      <c r="E52" s="122"/>
    </row>
    <row r="53" spans="1:20" outlineLevel="1" x14ac:dyDescent="0.45">
      <c r="A53" s="111"/>
      <c r="B53" s="135" t="s">
        <v>198</v>
      </c>
      <c r="C53" s="122"/>
      <c r="D53" s="122"/>
      <c r="E53" s="122"/>
      <c r="G53" s="545">
        <f>'Historical BS'!C26</f>
        <v>0</v>
      </c>
      <c r="H53" s="545">
        <f>'Historical BS'!D26</f>
        <v>0</v>
      </c>
      <c r="I53" s="545">
        <f>'Historical BS'!E26</f>
        <v>0</v>
      </c>
      <c r="J53" s="545">
        <f>'Historical BS'!F26</f>
        <v>86824</v>
      </c>
      <c r="K53" s="545">
        <f>'Historical BS'!G26</f>
        <v>77764</v>
      </c>
      <c r="L53" s="546">
        <f>K53</f>
        <v>77764</v>
      </c>
      <c r="M53" s="546">
        <f t="shared" ref="M53:T53" si="51">L53</f>
        <v>77764</v>
      </c>
      <c r="N53" s="546">
        <f t="shared" si="51"/>
        <v>77764</v>
      </c>
      <c r="O53" s="546">
        <f t="shared" si="51"/>
        <v>77764</v>
      </c>
      <c r="P53" s="546">
        <f t="shared" si="51"/>
        <v>77764</v>
      </c>
      <c r="Q53" s="546">
        <f t="shared" si="51"/>
        <v>77764</v>
      </c>
      <c r="R53" s="546">
        <f t="shared" si="51"/>
        <v>77764</v>
      </c>
      <c r="S53" s="546">
        <f t="shared" si="51"/>
        <v>77764</v>
      </c>
      <c r="T53" s="546">
        <f t="shared" si="51"/>
        <v>77764</v>
      </c>
    </row>
    <row r="54" spans="1:20" outlineLevel="1" x14ac:dyDescent="0.45">
      <c r="A54" s="111"/>
      <c r="B54" s="135" t="s">
        <v>199</v>
      </c>
      <c r="C54" s="122"/>
      <c r="D54" s="122"/>
      <c r="E54" s="122"/>
      <c r="G54" s="545">
        <f>'Historical BS'!C27</f>
        <v>60137</v>
      </c>
      <c r="H54" s="545">
        <f>'Historical BS'!D27</f>
        <v>49249</v>
      </c>
      <c r="I54" s="545">
        <f>'Historical BS'!E27</f>
        <v>52839</v>
      </c>
      <c r="J54" s="545">
        <f>'Historical BS'!F27</f>
        <v>51633</v>
      </c>
      <c r="K54" s="545">
        <f>'Historical BS'!G27</f>
        <v>58211</v>
      </c>
      <c r="L54" s="546">
        <f>L242</f>
        <v>70360.111395082669</v>
      </c>
      <c r="M54" s="546">
        <f t="shared" ref="M54:R54" si="52">M242</f>
        <v>70505.562307278145</v>
      </c>
      <c r="N54" s="546">
        <f t="shared" si="52"/>
        <v>70354.028405596764</v>
      </c>
      <c r="O54" s="546">
        <f t="shared" si="52"/>
        <v>70223.872340825721</v>
      </c>
      <c r="P54" s="546">
        <f t="shared" si="52"/>
        <v>70069.616773577087</v>
      </c>
      <c r="Q54" s="546">
        <f t="shared" si="52"/>
        <v>83060.210212730672</v>
      </c>
      <c r="R54" s="546">
        <f t="shared" si="52"/>
        <v>97788.925001906435</v>
      </c>
      <c r="S54" s="546">
        <f>S242</f>
        <v>67896.54158441312</v>
      </c>
      <c r="T54" s="546">
        <f>T242</f>
        <v>70360.111395082669</v>
      </c>
    </row>
    <row r="55" spans="1:20" outlineLevel="1" x14ac:dyDescent="0.45">
      <c r="A55" s="111"/>
      <c r="B55" s="135" t="s">
        <v>200</v>
      </c>
      <c r="C55" s="122"/>
      <c r="D55" s="122"/>
      <c r="E55" s="122"/>
      <c r="G55" s="545">
        <f>'Historical BS'!C28</f>
        <v>2896</v>
      </c>
      <c r="H55" s="545">
        <f>'Historical BS'!D28</f>
        <v>7773</v>
      </c>
      <c r="I55" s="545">
        <f>'Historical BS'!E28</f>
        <v>0</v>
      </c>
      <c r="J55" s="545">
        <f>'Historical BS'!F28</f>
        <v>0</v>
      </c>
      <c r="K55" s="545">
        <f>'Historical BS'!G28</f>
        <v>0</v>
      </c>
      <c r="L55" s="546">
        <f>K55</f>
        <v>0</v>
      </c>
      <c r="M55" s="546">
        <f t="shared" ref="M55:T55" si="53">L55</f>
        <v>0</v>
      </c>
      <c r="N55" s="546">
        <f t="shared" si="53"/>
        <v>0</v>
      </c>
      <c r="O55" s="546">
        <f t="shared" si="53"/>
        <v>0</v>
      </c>
      <c r="P55" s="546">
        <f t="shared" si="53"/>
        <v>0</v>
      </c>
      <c r="Q55" s="546">
        <f t="shared" si="53"/>
        <v>0</v>
      </c>
      <c r="R55" s="546">
        <f t="shared" si="53"/>
        <v>0</v>
      </c>
      <c r="S55" s="546">
        <f t="shared" si="53"/>
        <v>0</v>
      </c>
      <c r="T55" s="546">
        <f t="shared" si="53"/>
        <v>0</v>
      </c>
    </row>
    <row r="56" spans="1:20" outlineLevel="1" x14ac:dyDescent="0.45">
      <c r="A56" s="111"/>
      <c r="B56" s="135" t="s">
        <v>201</v>
      </c>
      <c r="C56" s="122"/>
      <c r="D56" s="122"/>
      <c r="E56" s="122"/>
      <c r="G56" s="545">
        <f>'Historical BS'!C29</f>
        <v>83171</v>
      </c>
      <c r="H56" s="545">
        <f>'Historical BS'!D29</f>
        <v>83171</v>
      </c>
      <c r="I56" s="545">
        <f>'Historical BS'!E29</f>
        <v>435601</v>
      </c>
      <c r="J56" s="545">
        <f>'Historical BS'!F29</f>
        <v>210438</v>
      </c>
      <c r="K56" s="545">
        <f>'Historical BS'!G29</f>
        <v>210438</v>
      </c>
      <c r="L56" s="546">
        <f>K56</f>
        <v>210438</v>
      </c>
      <c r="M56" s="546">
        <f t="shared" ref="M56:T56" si="54">L56</f>
        <v>210438</v>
      </c>
      <c r="N56" s="546">
        <f t="shared" si="54"/>
        <v>210438</v>
      </c>
      <c r="O56" s="546">
        <f t="shared" si="54"/>
        <v>210438</v>
      </c>
      <c r="P56" s="546">
        <f t="shared" si="54"/>
        <v>210438</v>
      </c>
      <c r="Q56" s="546">
        <f t="shared" si="54"/>
        <v>210438</v>
      </c>
      <c r="R56" s="546">
        <f t="shared" si="54"/>
        <v>210438</v>
      </c>
      <c r="S56" s="546">
        <f t="shared" si="54"/>
        <v>210438</v>
      </c>
      <c r="T56" s="546">
        <f t="shared" si="54"/>
        <v>210438</v>
      </c>
    </row>
    <row r="57" spans="1:20" outlineLevel="1" x14ac:dyDescent="0.45">
      <c r="A57" s="111"/>
      <c r="B57" s="135" t="s">
        <v>202</v>
      </c>
      <c r="C57" s="122"/>
      <c r="D57" s="122"/>
      <c r="E57" s="122"/>
      <c r="G57" s="545">
        <f>'Historical BS'!C30</f>
        <v>26185</v>
      </c>
      <c r="H57" s="545">
        <f>'Historical BS'!D30</f>
        <v>18868</v>
      </c>
      <c r="I57" s="545">
        <f>'Historical BS'!E30</f>
        <v>60138</v>
      </c>
      <c r="J57" s="545">
        <f>'Historical BS'!F30</f>
        <v>42808</v>
      </c>
      <c r="K57" s="545">
        <f>'Historical BS'!G30</f>
        <v>190103</v>
      </c>
      <c r="L57" s="546">
        <f>L350</f>
        <v>168371.90079133335</v>
      </c>
      <c r="M57" s="546">
        <f t="shared" ref="M57:T57" si="55">M350</f>
        <v>145199.66980861101</v>
      </c>
      <c r="N57" s="546">
        <f t="shared" si="55"/>
        <v>134823.09935398781</v>
      </c>
      <c r="O57" s="546">
        <f t="shared" si="55"/>
        <v>146341.22644661821</v>
      </c>
      <c r="P57" s="546">
        <f t="shared" si="55"/>
        <v>163816.01434852282</v>
      </c>
      <c r="Q57" s="546">
        <f t="shared" si="55"/>
        <v>188278.1421770585</v>
      </c>
      <c r="R57" s="546">
        <f t="shared" si="55"/>
        <v>221172.76576270879</v>
      </c>
      <c r="S57" s="546">
        <f t="shared" si="55"/>
        <v>172778.4847975352</v>
      </c>
      <c r="T57" s="546">
        <f t="shared" si="55"/>
        <v>168371.90079133338</v>
      </c>
    </row>
    <row r="58" spans="1:20" outlineLevel="1" x14ac:dyDescent="0.45">
      <c r="A58" s="111"/>
      <c r="B58" s="135" t="s">
        <v>203</v>
      </c>
      <c r="C58" s="122"/>
      <c r="D58" s="122"/>
      <c r="E58" s="122"/>
      <c r="G58" s="553">
        <f>'Historical BS'!C31</f>
        <v>2589</v>
      </c>
      <c r="H58" s="553">
        <f>'Historical BS'!D31</f>
        <v>7452</v>
      </c>
      <c r="I58" s="553">
        <f>'Historical BS'!E31</f>
        <v>8939</v>
      </c>
      <c r="J58" s="553">
        <f>'Historical BS'!F31</f>
        <v>10921</v>
      </c>
      <c r="K58" s="553">
        <f>'Historical BS'!G31</f>
        <v>11028</v>
      </c>
      <c r="L58" s="552">
        <f>K58</f>
        <v>11028</v>
      </c>
      <c r="M58" s="552">
        <f t="shared" ref="M58:T58" si="56">L58</f>
        <v>11028</v>
      </c>
      <c r="N58" s="552">
        <f t="shared" si="56"/>
        <v>11028</v>
      </c>
      <c r="O58" s="552">
        <f t="shared" si="56"/>
        <v>11028</v>
      </c>
      <c r="P58" s="552">
        <f t="shared" si="56"/>
        <v>11028</v>
      </c>
      <c r="Q58" s="552">
        <f t="shared" si="56"/>
        <v>11028</v>
      </c>
      <c r="R58" s="552">
        <f t="shared" si="56"/>
        <v>11028</v>
      </c>
      <c r="S58" s="552">
        <f t="shared" si="56"/>
        <v>11028</v>
      </c>
      <c r="T58" s="552">
        <f t="shared" si="56"/>
        <v>11028</v>
      </c>
    </row>
    <row r="59" spans="1:20" outlineLevel="1" x14ac:dyDescent="0.45">
      <c r="A59" s="111"/>
      <c r="B59" s="48" t="s">
        <v>204</v>
      </c>
      <c r="C59" s="122"/>
      <c r="D59" s="122"/>
      <c r="E59" s="122"/>
      <c r="G59" s="546">
        <f>SUM(G53:G58)</f>
        <v>174978</v>
      </c>
      <c r="H59" s="546">
        <f t="shared" ref="H59:T59" si="57">SUM(H53:H58)</f>
        <v>166513</v>
      </c>
      <c r="I59" s="546">
        <f t="shared" si="57"/>
        <v>557517</v>
      </c>
      <c r="J59" s="546">
        <f t="shared" si="57"/>
        <v>402624</v>
      </c>
      <c r="K59" s="546">
        <f t="shared" si="57"/>
        <v>547544</v>
      </c>
      <c r="L59" s="546">
        <f t="shared" si="57"/>
        <v>537962.01218641596</v>
      </c>
      <c r="M59" s="546">
        <f t="shared" si="57"/>
        <v>514935.2321158892</v>
      </c>
      <c r="N59" s="546">
        <f t="shared" si="57"/>
        <v>504407.12775958457</v>
      </c>
      <c r="O59" s="546">
        <f t="shared" si="57"/>
        <v>515795.09878744395</v>
      </c>
      <c r="P59" s="546">
        <f t="shared" si="57"/>
        <v>533115.63112209993</v>
      </c>
      <c r="Q59" s="546">
        <f t="shared" si="57"/>
        <v>570568.35238978919</v>
      </c>
      <c r="R59" s="546">
        <f t="shared" si="57"/>
        <v>618191.69076461531</v>
      </c>
      <c r="S59" s="546">
        <f t="shared" si="57"/>
        <v>539905.02638194838</v>
      </c>
      <c r="T59" s="546">
        <f t="shared" si="57"/>
        <v>537962.01218641608</v>
      </c>
    </row>
    <row r="60" spans="1:20" outlineLevel="1" x14ac:dyDescent="0.45">
      <c r="A60" s="111"/>
      <c r="B60" s="135"/>
      <c r="C60" s="122"/>
      <c r="D60" s="122"/>
      <c r="E60" s="122"/>
    </row>
    <row r="61" spans="1:20" outlineLevel="1" x14ac:dyDescent="0.45">
      <c r="A61" s="107" t="s">
        <v>18</v>
      </c>
      <c r="B61" s="48" t="s">
        <v>205</v>
      </c>
      <c r="C61" s="122"/>
      <c r="D61" s="122"/>
      <c r="E61" s="122"/>
      <c r="G61" s="572">
        <f>G50+G59</f>
        <v>336729</v>
      </c>
      <c r="H61" s="573">
        <f t="shared" ref="H61:T61" si="58">H50+H59</f>
        <v>306766</v>
      </c>
      <c r="I61" s="573">
        <f t="shared" si="58"/>
        <v>899549</v>
      </c>
      <c r="J61" s="573">
        <f t="shared" si="58"/>
        <v>730517</v>
      </c>
      <c r="K61" s="573">
        <f t="shared" si="58"/>
        <v>921759</v>
      </c>
      <c r="L61" s="573">
        <f t="shared" ca="1" si="58"/>
        <v>679680.78640052932</v>
      </c>
      <c r="M61" s="573">
        <f t="shared" ca="1" si="58"/>
        <v>694290.00689722598</v>
      </c>
      <c r="N61" s="573">
        <f t="shared" ca="1" si="58"/>
        <v>697982.54845672322</v>
      </c>
      <c r="O61" s="573">
        <f t="shared" ca="1" si="58"/>
        <v>727170.6988315786</v>
      </c>
      <c r="P61" s="573">
        <f t="shared" ca="1" si="58"/>
        <v>765778.43335597555</v>
      </c>
      <c r="Q61" s="573">
        <f t="shared" ca="1" si="58"/>
        <v>948538.25474440749</v>
      </c>
      <c r="R61" s="573">
        <f t="shared" ca="1" si="58"/>
        <v>1203813.8418806631</v>
      </c>
      <c r="S61" s="573">
        <f t="shared" ca="1" si="58"/>
        <v>997070.70931694459</v>
      </c>
      <c r="T61" s="574">
        <f t="shared" ca="1" si="58"/>
        <v>679680.74640052929</v>
      </c>
    </row>
    <row r="62" spans="1:20" outlineLevel="1" x14ac:dyDescent="0.45">
      <c r="A62" s="111"/>
      <c r="B62" s="48"/>
      <c r="C62" s="122"/>
      <c r="D62" s="122"/>
      <c r="E62" s="122"/>
    </row>
    <row r="63" spans="1:20" outlineLevel="1" x14ac:dyDescent="0.45">
      <c r="A63" s="111"/>
      <c r="B63" s="48" t="s">
        <v>206</v>
      </c>
      <c r="C63" s="122"/>
      <c r="D63" s="122"/>
      <c r="E63" s="122"/>
    </row>
    <row r="64" spans="1:20" outlineLevel="1" x14ac:dyDescent="0.45">
      <c r="A64" s="111"/>
      <c r="B64" s="135" t="s">
        <v>207</v>
      </c>
      <c r="C64" s="122"/>
      <c r="D64" s="122"/>
      <c r="E64" s="122"/>
      <c r="G64" s="345">
        <v>0</v>
      </c>
      <c r="H64" s="345">
        <v>0</v>
      </c>
      <c r="I64" s="345">
        <v>0</v>
      </c>
      <c r="J64" s="345">
        <v>0</v>
      </c>
      <c r="K64" s="345">
        <v>0</v>
      </c>
      <c r="L64" s="546">
        <f>L554</f>
        <v>50000</v>
      </c>
      <c r="M64" s="546">
        <f t="shared" ref="M64:T64" ca="1" si="59">M554</f>
        <v>164273.98402056846</v>
      </c>
      <c r="N64" s="546">
        <f t="shared" ca="1" si="59"/>
        <v>203771.16052970925</v>
      </c>
      <c r="O64" s="546">
        <f t="shared" ca="1" si="59"/>
        <v>175341.58089962389</v>
      </c>
      <c r="P64" s="546">
        <f t="shared" ca="1" si="59"/>
        <v>40226.162947247707</v>
      </c>
      <c r="Q64" s="546">
        <f t="shared" ca="1" si="59"/>
        <v>0</v>
      </c>
      <c r="R64" s="546">
        <f t="shared" ca="1" si="59"/>
        <v>0</v>
      </c>
      <c r="S64" s="189">
        <f t="shared" si="59"/>
        <v>0</v>
      </c>
      <c r="T64" s="546">
        <f t="shared" si="59"/>
        <v>50000</v>
      </c>
    </row>
    <row r="65" spans="1:21" outlineLevel="1" x14ac:dyDescent="0.45">
      <c r="A65" s="111"/>
      <c r="B65" s="135" t="s">
        <v>208</v>
      </c>
      <c r="C65" s="122"/>
      <c r="D65" s="122"/>
      <c r="E65" s="122"/>
      <c r="G65" s="545">
        <f>'Historical BS'!C34</f>
        <v>3204</v>
      </c>
      <c r="H65" s="545">
        <f>'Historical BS'!D34</f>
        <v>16758</v>
      </c>
      <c r="I65" s="545">
        <f>'Historical BS'!E34</f>
        <v>26533</v>
      </c>
      <c r="J65" s="545">
        <f>'Historical BS'!F34</f>
        <v>12987</v>
      </c>
      <c r="K65" s="545">
        <f>'Historical BS'!G34</f>
        <v>12863</v>
      </c>
      <c r="L65" s="546">
        <f>L394</f>
        <v>18149.733364520547</v>
      </c>
      <c r="M65" s="546">
        <f t="shared" ref="M65:T65" si="60">M394</f>
        <v>20143.342197958653</v>
      </c>
      <c r="N65" s="546">
        <f t="shared" si="60"/>
        <v>22584.092516255729</v>
      </c>
      <c r="O65" s="546">
        <f t="shared" si="60"/>
        <v>25524.541231863615</v>
      </c>
      <c r="P65" s="546">
        <f t="shared" si="60"/>
        <v>28872.372088127231</v>
      </c>
      <c r="Q65" s="546">
        <f t="shared" si="60"/>
        <v>32623.893652543033</v>
      </c>
      <c r="R65" s="546">
        <f t="shared" si="60"/>
        <v>36059.258642969267</v>
      </c>
      <c r="S65" s="546">
        <f t="shared" si="60"/>
        <v>17077.701321159439</v>
      </c>
      <c r="T65" s="546">
        <f t="shared" si="60"/>
        <v>18149.733364520547</v>
      </c>
    </row>
    <row r="66" spans="1:21" outlineLevel="1" x14ac:dyDescent="0.45">
      <c r="A66" s="111"/>
      <c r="B66" s="135" t="s">
        <v>168</v>
      </c>
      <c r="C66" s="122"/>
      <c r="D66" s="122"/>
      <c r="E66" s="122"/>
      <c r="G66" s="545">
        <f>'Historical BS'!C35</f>
        <v>46392</v>
      </c>
      <c r="H66" s="545">
        <f>'Historical BS'!D35</f>
        <v>46779</v>
      </c>
      <c r="I66" s="545">
        <f>'Historical BS'!E35</f>
        <v>60861</v>
      </c>
      <c r="J66" s="545">
        <f>'Historical BS'!F35</f>
        <v>64360</v>
      </c>
      <c r="K66" s="545">
        <f>'Historical BS'!G35</f>
        <v>99435</v>
      </c>
      <c r="L66" s="546">
        <f>L395</f>
        <v>98928.14665888001</v>
      </c>
      <c r="M66" s="546">
        <f t="shared" ref="M66:T66" si="61">M395</f>
        <v>109562.10389805296</v>
      </c>
      <c r="N66" s="546">
        <f t="shared" si="61"/>
        <v>123084.96327246608</v>
      </c>
      <c r="O66" s="546">
        <f t="shared" si="61"/>
        <v>139971.3070312381</v>
      </c>
      <c r="P66" s="546">
        <f t="shared" si="61"/>
        <v>159985.6873503995</v>
      </c>
      <c r="Q66" s="546">
        <f t="shared" si="61"/>
        <v>183463.14950387986</v>
      </c>
      <c r="R66" s="546">
        <f t="shared" si="61"/>
        <v>211796.33524778503</v>
      </c>
      <c r="S66" s="546">
        <f t="shared" si="61"/>
        <v>99030.925253051566</v>
      </c>
      <c r="T66" s="546">
        <f t="shared" si="61"/>
        <v>98928.14665888001</v>
      </c>
    </row>
    <row r="67" spans="1:21" outlineLevel="1" x14ac:dyDescent="0.45">
      <c r="A67" s="111"/>
      <c r="B67" s="135" t="s">
        <v>209</v>
      </c>
      <c r="C67" s="122"/>
      <c r="D67" s="122"/>
      <c r="E67" s="122"/>
      <c r="G67" s="545">
        <f>'Historical BS'!C36</f>
        <v>8750</v>
      </c>
      <c r="H67" s="545">
        <f>'Historical BS'!D36</f>
        <v>13586</v>
      </c>
      <c r="I67" s="545">
        <f>'Historical BS'!E36</f>
        <v>13586</v>
      </c>
      <c r="J67" s="545">
        <f>'Historical BS'!F36</f>
        <v>40758</v>
      </c>
      <c r="K67" s="545">
        <f>'Historical BS'!G36</f>
        <v>48977</v>
      </c>
      <c r="L67" s="546">
        <f>T67</f>
        <v>0</v>
      </c>
      <c r="M67" s="546">
        <v>0</v>
      </c>
      <c r="N67" s="546">
        <v>0</v>
      </c>
      <c r="O67" s="546">
        <v>0</v>
      </c>
      <c r="P67" s="546">
        <v>0</v>
      </c>
      <c r="Q67" s="546">
        <v>0</v>
      </c>
      <c r="R67" s="546">
        <v>0</v>
      </c>
      <c r="S67" s="545">
        <f>'Historical BS'!K36</f>
        <v>57140</v>
      </c>
      <c r="T67" s="546">
        <v>0</v>
      </c>
    </row>
    <row r="68" spans="1:21" outlineLevel="1" x14ac:dyDescent="0.45">
      <c r="A68" s="111"/>
      <c r="B68" s="135" t="s">
        <v>210</v>
      </c>
      <c r="C68" s="122"/>
      <c r="D68" s="122"/>
      <c r="E68" s="122"/>
      <c r="G68" s="545">
        <f>'Historical BS'!C37</f>
        <v>0</v>
      </c>
      <c r="H68" s="545">
        <f>'Historical BS'!D37</f>
        <v>0</v>
      </c>
      <c r="I68" s="545">
        <f>'Historical BS'!E37</f>
        <v>0</v>
      </c>
      <c r="J68" s="545">
        <f>'Historical BS'!F37</f>
        <v>11514</v>
      </c>
      <c r="K68" s="545">
        <f>'Historical BS'!G37</f>
        <v>12640</v>
      </c>
      <c r="L68" s="546">
        <f>K68</f>
        <v>12640</v>
      </c>
      <c r="M68" s="546">
        <f t="shared" ref="M68:T68" si="62">L68</f>
        <v>12640</v>
      </c>
      <c r="N68" s="546">
        <f t="shared" si="62"/>
        <v>12640</v>
      </c>
      <c r="O68" s="546">
        <f t="shared" si="62"/>
        <v>12640</v>
      </c>
      <c r="P68" s="546">
        <f t="shared" si="62"/>
        <v>12640</v>
      </c>
      <c r="Q68" s="546">
        <f t="shared" si="62"/>
        <v>12640</v>
      </c>
      <c r="R68" s="546">
        <f t="shared" si="62"/>
        <v>12640</v>
      </c>
      <c r="S68" s="546">
        <f t="shared" si="62"/>
        <v>12640</v>
      </c>
      <c r="T68" s="546">
        <f t="shared" si="62"/>
        <v>12640</v>
      </c>
    </row>
    <row r="69" spans="1:21" outlineLevel="1" x14ac:dyDescent="0.45">
      <c r="A69" s="111"/>
      <c r="B69" s="135" t="s">
        <v>211</v>
      </c>
      <c r="C69" s="122"/>
      <c r="D69" s="122"/>
      <c r="E69" s="122"/>
      <c r="G69" s="545">
        <f>'Historical BS'!C38</f>
        <v>164428</v>
      </c>
      <c r="H69" s="545">
        <f>'Historical BS'!D38</f>
        <v>210392</v>
      </c>
      <c r="I69" s="545">
        <f>'Historical BS'!E38</f>
        <v>233999</v>
      </c>
      <c r="J69" s="545">
        <f>'Historical BS'!F38</f>
        <v>269689</v>
      </c>
      <c r="K69" s="545">
        <f>'Historical BS'!G38</f>
        <v>333191</v>
      </c>
      <c r="L69" s="546">
        <f>L393</f>
        <v>388646.29044560005</v>
      </c>
      <c r="M69" s="546">
        <f t="shared" ref="M69:T69" si="63">M393</f>
        <v>430422.55102806521</v>
      </c>
      <c r="N69" s="546">
        <f t="shared" si="63"/>
        <v>483548.06999897386</v>
      </c>
      <c r="O69" s="546">
        <f t="shared" si="63"/>
        <v>549887.27762272116</v>
      </c>
      <c r="P69" s="546">
        <f t="shared" si="63"/>
        <v>628515.20030514093</v>
      </c>
      <c r="Q69" s="546">
        <f t="shared" si="63"/>
        <v>720748.08733667084</v>
      </c>
      <c r="R69" s="546">
        <f t="shared" si="63"/>
        <v>832057.03133058397</v>
      </c>
      <c r="S69" s="546">
        <f t="shared" si="63"/>
        <v>377401.18988302007</v>
      </c>
      <c r="T69" s="546">
        <f t="shared" si="63"/>
        <v>388646.29044560005</v>
      </c>
    </row>
    <row r="70" spans="1:21" outlineLevel="1" x14ac:dyDescent="0.45">
      <c r="A70" s="111"/>
      <c r="B70" s="135" t="s">
        <v>212</v>
      </c>
      <c r="C70" s="122"/>
      <c r="D70" s="122"/>
      <c r="E70" s="122"/>
      <c r="G70" s="545">
        <f>'Historical BS'!C40</f>
        <v>939</v>
      </c>
      <c r="H70" s="545">
        <f>'Historical BS'!D40</f>
        <v>0</v>
      </c>
      <c r="I70" s="545">
        <f>'Historical BS'!E40</f>
        <v>0</v>
      </c>
      <c r="J70" s="545">
        <f>'Historical BS'!F40</f>
        <v>0</v>
      </c>
      <c r="K70" s="545">
        <f>'Historical BS'!G40</f>
        <v>0</v>
      </c>
      <c r="L70" s="546">
        <f>K70</f>
        <v>0</v>
      </c>
      <c r="M70" s="546">
        <f t="shared" ref="M70:T70" si="64">L70</f>
        <v>0</v>
      </c>
      <c r="N70" s="546">
        <f t="shared" si="64"/>
        <v>0</v>
      </c>
      <c r="O70" s="546">
        <f t="shared" si="64"/>
        <v>0</v>
      </c>
      <c r="P70" s="546">
        <f t="shared" si="64"/>
        <v>0</v>
      </c>
      <c r="Q70" s="546">
        <f t="shared" si="64"/>
        <v>0</v>
      </c>
      <c r="R70" s="546">
        <f t="shared" si="64"/>
        <v>0</v>
      </c>
      <c r="S70" s="546">
        <f t="shared" si="64"/>
        <v>0</v>
      </c>
      <c r="T70" s="546">
        <f t="shared" si="64"/>
        <v>0</v>
      </c>
    </row>
    <row r="71" spans="1:21" outlineLevel="1" x14ac:dyDescent="0.45">
      <c r="A71" s="111"/>
      <c r="B71" s="135" t="s">
        <v>213</v>
      </c>
      <c r="C71" s="122"/>
      <c r="D71" s="122"/>
      <c r="E71" s="122"/>
      <c r="G71" s="545">
        <f>'Historical BS'!C41</f>
        <v>0</v>
      </c>
      <c r="H71" s="545">
        <f>'Historical BS'!D41</f>
        <v>0</v>
      </c>
      <c r="I71" s="545">
        <f>'Historical BS'!E41</f>
        <v>30137</v>
      </c>
      <c r="J71" s="545">
        <f>'Historical BS'!F41</f>
        <v>38845</v>
      </c>
      <c r="K71" s="545">
        <f>'Historical BS'!G41</f>
        <v>42672</v>
      </c>
      <c r="L71" s="546">
        <f>K71</f>
        <v>42672</v>
      </c>
      <c r="M71" s="546">
        <f t="shared" ref="M71:T72" si="65">L71</f>
        <v>42672</v>
      </c>
      <c r="N71" s="546">
        <f t="shared" si="65"/>
        <v>42672</v>
      </c>
      <c r="O71" s="546">
        <f t="shared" si="65"/>
        <v>42672</v>
      </c>
      <c r="P71" s="546">
        <f t="shared" si="65"/>
        <v>42672</v>
      </c>
      <c r="Q71" s="546">
        <f t="shared" si="65"/>
        <v>42672</v>
      </c>
      <c r="R71" s="546">
        <f t="shared" si="65"/>
        <v>42672</v>
      </c>
      <c r="S71" s="546">
        <f t="shared" si="65"/>
        <v>42672</v>
      </c>
      <c r="T71" s="546">
        <f t="shared" si="65"/>
        <v>42672</v>
      </c>
    </row>
    <row r="72" spans="1:21" outlineLevel="1" x14ac:dyDescent="0.45">
      <c r="A72" s="111"/>
      <c r="B72" s="135" t="s">
        <v>214</v>
      </c>
      <c r="C72" s="122"/>
      <c r="D72" s="122"/>
      <c r="E72" s="122"/>
      <c r="G72" s="553">
        <f>'Historical BS'!C42</f>
        <v>0</v>
      </c>
      <c r="H72" s="553">
        <f>'Historical BS'!D42</f>
        <v>1197</v>
      </c>
      <c r="I72" s="553">
        <f>'Historical BS'!E42</f>
        <v>2095</v>
      </c>
      <c r="J72" s="553">
        <f>'Historical BS'!F42</f>
        <v>0</v>
      </c>
      <c r="K72" s="553">
        <f>'Historical BS'!G42</f>
        <v>0</v>
      </c>
      <c r="L72" s="552">
        <f>K72</f>
        <v>0</v>
      </c>
      <c r="M72" s="552">
        <f t="shared" si="65"/>
        <v>0</v>
      </c>
      <c r="N72" s="552">
        <f t="shared" si="65"/>
        <v>0</v>
      </c>
      <c r="O72" s="552">
        <f t="shared" si="65"/>
        <v>0</v>
      </c>
      <c r="P72" s="552">
        <f t="shared" si="65"/>
        <v>0</v>
      </c>
      <c r="Q72" s="552">
        <f t="shared" si="65"/>
        <v>0</v>
      </c>
      <c r="R72" s="552">
        <f t="shared" si="65"/>
        <v>0</v>
      </c>
      <c r="S72" s="552">
        <f t="shared" si="65"/>
        <v>0</v>
      </c>
      <c r="T72" s="552">
        <f t="shared" si="65"/>
        <v>0</v>
      </c>
    </row>
    <row r="73" spans="1:21" outlineLevel="1" x14ac:dyDescent="0.45">
      <c r="A73" s="111"/>
      <c r="B73" s="48" t="s">
        <v>215</v>
      </c>
      <c r="C73" s="122"/>
      <c r="D73" s="122"/>
      <c r="E73" s="122"/>
      <c r="G73" s="546">
        <f>SUM(G64:G72)</f>
        <v>223713</v>
      </c>
      <c r="H73" s="546">
        <f t="shared" ref="H73:T73" si="66">SUM(H64:H72)</f>
        <v>288712</v>
      </c>
      <c r="I73" s="546">
        <f t="shared" si="66"/>
        <v>367211</v>
      </c>
      <c r="J73" s="546">
        <f t="shared" si="66"/>
        <v>438153</v>
      </c>
      <c r="K73" s="546">
        <f t="shared" si="66"/>
        <v>549778</v>
      </c>
      <c r="L73" s="546">
        <f t="shared" si="66"/>
        <v>611036.17046900059</v>
      </c>
      <c r="M73" s="546">
        <f t="shared" ca="1" si="66"/>
        <v>779713.98114464525</v>
      </c>
      <c r="N73" s="546">
        <f t="shared" ca="1" si="66"/>
        <v>888300.28631740494</v>
      </c>
      <c r="O73" s="546">
        <f t="shared" ca="1" si="66"/>
        <v>946036.70678544673</v>
      </c>
      <c r="P73" s="546">
        <f t="shared" ca="1" si="66"/>
        <v>912911.42269091541</v>
      </c>
      <c r="Q73" s="546">
        <f t="shared" ca="1" si="66"/>
        <v>992147.13049309375</v>
      </c>
      <c r="R73" s="546">
        <f t="shared" ca="1" si="66"/>
        <v>1135224.6252213384</v>
      </c>
      <c r="S73" s="546">
        <f t="shared" si="66"/>
        <v>605961.81645723106</v>
      </c>
      <c r="T73" s="546">
        <f t="shared" si="66"/>
        <v>611036.17046900059</v>
      </c>
    </row>
    <row r="74" spans="1:21" outlineLevel="1" x14ac:dyDescent="0.45">
      <c r="A74" s="111"/>
      <c r="B74" s="48"/>
      <c r="C74" s="122"/>
      <c r="D74" s="122"/>
      <c r="E74" s="122"/>
    </row>
    <row r="75" spans="1:21" outlineLevel="1" x14ac:dyDescent="0.45">
      <c r="A75" s="107" t="s">
        <v>18</v>
      </c>
      <c r="B75" s="48" t="s">
        <v>216</v>
      </c>
      <c r="C75" s="122"/>
      <c r="D75" s="122"/>
      <c r="E75" s="122"/>
    </row>
    <row r="76" spans="1:21" outlineLevel="1" x14ac:dyDescent="0.45">
      <c r="A76" s="107"/>
      <c r="B76" s="135" t="s">
        <v>217</v>
      </c>
      <c r="C76" s="122"/>
      <c r="D76" s="122"/>
      <c r="E76" s="122"/>
      <c r="G76" s="546">
        <v>0</v>
      </c>
      <c r="H76" s="546">
        <v>0</v>
      </c>
      <c r="I76" s="546">
        <v>0</v>
      </c>
      <c r="J76" s="546">
        <v>0</v>
      </c>
      <c r="K76" s="546">
        <v>0</v>
      </c>
      <c r="L76" s="546">
        <f ca="1">L555+L556</f>
        <v>2600000.04</v>
      </c>
      <c r="M76" s="546">
        <f t="shared" ref="M76:T76" ca="1" si="67">M555+M556</f>
        <v>2580500</v>
      </c>
      <c r="N76" s="546">
        <f t="shared" ca="1" si="67"/>
        <v>2554500</v>
      </c>
      <c r="O76" s="546">
        <f t="shared" ca="1" si="67"/>
        <v>2528500</v>
      </c>
      <c r="P76" s="546">
        <f t="shared" ca="1" si="67"/>
        <v>2502500</v>
      </c>
      <c r="Q76" s="546">
        <f t="shared" ca="1" si="67"/>
        <v>2383156.4561060695</v>
      </c>
      <c r="R76" s="546">
        <f t="shared" ca="1" si="67"/>
        <v>2093666.3740836966</v>
      </c>
      <c r="S76" s="546">
        <f t="shared" si="67"/>
        <v>0</v>
      </c>
      <c r="T76" s="546">
        <f t="shared" ca="1" si="67"/>
        <v>2600000</v>
      </c>
    </row>
    <row r="77" spans="1:21" s="197" customFormat="1" outlineLevel="1" x14ac:dyDescent="0.45">
      <c r="A77" s="111"/>
      <c r="B77" s="135" t="s">
        <v>218</v>
      </c>
      <c r="C77" s="204"/>
      <c r="D77" s="204"/>
      <c r="E77" s="204"/>
      <c r="G77" s="545">
        <f>'Historical BS'!C45</f>
        <v>339429</v>
      </c>
      <c r="H77" s="545">
        <f>'Historical BS'!D45</f>
        <v>525752</v>
      </c>
      <c r="I77" s="545">
        <f>'Historical BS'!E45</f>
        <v>513047</v>
      </c>
      <c r="J77" s="545">
        <f>'Historical BS'!F45</f>
        <v>473167</v>
      </c>
      <c r="K77" s="545">
        <f>'Historical BS'!G45</f>
        <v>519816</v>
      </c>
      <c r="L77" s="345">
        <f>T77</f>
        <v>0</v>
      </c>
      <c r="M77" s="345">
        <v>0</v>
      </c>
      <c r="N77" s="345">
        <v>0</v>
      </c>
      <c r="O77" s="345">
        <v>0</v>
      </c>
      <c r="P77" s="345">
        <v>0</v>
      </c>
      <c r="Q77" s="345">
        <v>0</v>
      </c>
      <c r="R77" s="345">
        <v>0</v>
      </c>
      <c r="S77" s="545">
        <f>'Historical BS'!K43</f>
        <v>487846</v>
      </c>
      <c r="T77" s="345">
        <v>0</v>
      </c>
      <c r="U77" s="106"/>
    </row>
    <row r="78" spans="1:21" outlineLevel="1" x14ac:dyDescent="0.45">
      <c r="A78" s="111"/>
      <c r="B78" s="135" t="s">
        <v>219</v>
      </c>
      <c r="C78" s="122"/>
      <c r="D78" s="122"/>
      <c r="E78" s="122"/>
      <c r="G78" s="545">
        <f>'Historical BS'!C46</f>
        <v>0</v>
      </c>
      <c r="H78" s="545">
        <f>'Historical BS'!D46</f>
        <v>0</v>
      </c>
      <c r="I78" s="545">
        <f>'Historical BS'!E46</f>
        <v>0</v>
      </c>
      <c r="J78" s="545">
        <f>'Historical BS'!F46</f>
        <v>110169</v>
      </c>
      <c r="K78" s="545">
        <f>'Historical BS'!G46</f>
        <v>97714</v>
      </c>
      <c r="L78" s="546">
        <f t="shared" ref="L78:L83" si="68">K78</f>
        <v>97714</v>
      </c>
      <c r="M78" s="546">
        <f t="shared" ref="M78:T78" si="69">L78</f>
        <v>97714</v>
      </c>
      <c r="N78" s="546">
        <f t="shared" si="69"/>
        <v>97714</v>
      </c>
      <c r="O78" s="546">
        <f t="shared" si="69"/>
        <v>97714</v>
      </c>
      <c r="P78" s="546">
        <f t="shared" si="69"/>
        <v>97714</v>
      </c>
      <c r="Q78" s="546">
        <f t="shared" si="69"/>
        <v>97714</v>
      </c>
      <c r="R78" s="546">
        <f t="shared" si="69"/>
        <v>97714</v>
      </c>
      <c r="S78" s="546">
        <f t="shared" si="69"/>
        <v>97714</v>
      </c>
      <c r="T78" s="546">
        <f t="shared" si="69"/>
        <v>97714</v>
      </c>
    </row>
    <row r="79" spans="1:21" outlineLevel="1" x14ac:dyDescent="0.45">
      <c r="A79" s="111"/>
      <c r="B79" s="135" t="s">
        <v>220</v>
      </c>
      <c r="C79" s="122"/>
      <c r="D79" s="122"/>
      <c r="E79" s="122"/>
      <c r="G79" s="545">
        <f>'Historical BS'!C47</f>
        <v>0</v>
      </c>
      <c r="H79" s="545">
        <f>'Historical BS'!D47</f>
        <v>0</v>
      </c>
      <c r="I79" s="545">
        <f>'Historical BS'!E47</f>
        <v>0</v>
      </c>
      <c r="J79" s="545">
        <f>'Historical BS'!F47</f>
        <v>788</v>
      </c>
      <c r="K79" s="545">
        <f>'Historical BS'!G47</f>
        <v>1039</v>
      </c>
      <c r="L79" s="546">
        <f t="shared" si="68"/>
        <v>1039</v>
      </c>
      <c r="M79" s="546">
        <f t="shared" ref="M79:T79" si="70">L79</f>
        <v>1039</v>
      </c>
      <c r="N79" s="546">
        <f t="shared" si="70"/>
        <v>1039</v>
      </c>
      <c r="O79" s="546">
        <f t="shared" si="70"/>
        <v>1039</v>
      </c>
      <c r="P79" s="546">
        <f t="shared" si="70"/>
        <v>1039</v>
      </c>
      <c r="Q79" s="546">
        <f t="shared" si="70"/>
        <v>1039</v>
      </c>
      <c r="R79" s="546">
        <f t="shared" si="70"/>
        <v>1039</v>
      </c>
      <c r="S79" s="546">
        <f t="shared" si="70"/>
        <v>1039</v>
      </c>
      <c r="T79" s="546">
        <f t="shared" si="70"/>
        <v>1039</v>
      </c>
    </row>
    <row r="80" spans="1:21" outlineLevel="1" x14ac:dyDescent="0.45">
      <c r="A80" s="111"/>
      <c r="B80" s="135" t="s">
        <v>221</v>
      </c>
      <c r="C80" s="122"/>
      <c r="D80" s="122"/>
      <c r="E80" s="122"/>
      <c r="G80" s="545">
        <f>'Historical BS'!C48</f>
        <v>126546</v>
      </c>
      <c r="H80" s="545">
        <f>'Historical BS'!D48</f>
        <v>131390</v>
      </c>
      <c r="I80" s="545">
        <f>'Historical BS'!E48</f>
        <v>0</v>
      </c>
      <c r="J80" s="545">
        <f>'Historical BS'!F48</f>
        <v>0</v>
      </c>
      <c r="K80" s="545">
        <f>'Historical BS'!G48</f>
        <v>0</v>
      </c>
      <c r="L80" s="546">
        <f t="shared" si="68"/>
        <v>0</v>
      </c>
      <c r="M80" s="546">
        <f t="shared" ref="M80:T80" si="71">L80</f>
        <v>0</v>
      </c>
      <c r="N80" s="546">
        <f t="shared" si="71"/>
        <v>0</v>
      </c>
      <c r="O80" s="546">
        <f t="shared" si="71"/>
        <v>0</v>
      </c>
      <c r="P80" s="546">
        <f t="shared" si="71"/>
        <v>0</v>
      </c>
      <c r="Q80" s="546">
        <f t="shared" si="71"/>
        <v>0</v>
      </c>
      <c r="R80" s="546">
        <f t="shared" si="71"/>
        <v>0</v>
      </c>
      <c r="S80" s="546">
        <f t="shared" si="71"/>
        <v>0</v>
      </c>
      <c r="T80" s="546">
        <f t="shared" si="71"/>
        <v>0</v>
      </c>
    </row>
    <row r="81" spans="1:20" outlineLevel="1" x14ac:dyDescent="0.45">
      <c r="A81" s="111"/>
      <c r="B81" s="135" t="s">
        <v>222</v>
      </c>
      <c r="C81" s="122"/>
      <c r="D81" s="122"/>
      <c r="E81" s="122"/>
      <c r="G81" s="545">
        <f>'Historical BS'!C49</f>
        <v>224</v>
      </c>
      <c r="H81" s="545">
        <f>'Historical BS'!D49</f>
        <v>262</v>
      </c>
      <c r="I81" s="545">
        <f>'Historical BS'!E49</f>
        <v>422</v>
      </c>
      <c r="J81" s="545">
        <f>'Historical BS'!F49</f>
        <v>11231</v>
      </c>
      <c r="K81" s="545">
        <f>'Historical BS'!G49</f>
        <v>13764</v>
      </c>
      <c r="L81" s="546">
        <f t="shared" si="68"/>
        <v>13764</v>
      </c>
      <c r="M81" s="546">
        <f t="shared" ref="M81:T83" si="72">L81</f>
        <v>13764</v>
      </c>
      <c r="N81" s="546">
        <f t="shared" si="72"/>
        <v>13764</v>
      </c>
      <c r="O81" s="546">
        <f t="shared" si="72"/>
        <v>13764</v>
      </c>
      <c r="P81" s="546">
        <f t="shared" si="72"/>
        <v>13764</v>
      </c>
      <c r="Q81" s="546">
        <f t="shared" si="72"/>
        <v>13764</v>
      </c>
      <c r="R81" s="546">
        <f t="shared" si="72"/>
        <v>13764</v>
      </c>
      <c r="S81" s="546">
        <f t="shared" si="72"/>
        <v>13764</v>
      </c>
      <c r="T81" s="546">
        <f t="shared" si="72"/>
        <v>13764</v>
      </c>
    </row>
    <row r="82" spans="1:20" outlineLevel="1" x14ac:dyDescent="0.45">
      <c r="A82" s="111"/>
      <c r="B82" s="135" t="s">
        <v>223</v>
      </c>
      <c r="C82" s="122"/>
      <c r="D82" s="122"/>
      <c r="E82" s="122"/>
      <c r="G82" s="545">
        <f>'Historical BS'!C50</f>
        <v>23909</v>
      </c>
      <c r="H82" s="545">
        <f>'Historical BS'!D50</f>
        <v>0</v>
      </c>
      <c r="I82" s="545">
        <f>'Historical BS'!E50</f>
        <v>0</v>
      </c>
      <c r="J82" s="545">
        <f>'Historical BS'!F50</f>
        <v>0</v>
      </c>
      <c r="K82" s="545">
        <f>'Historical BS'!G50</f>
        <v>0</v>
      </c>
      <c r="L82" s="546">
        <f t="shared" si="68"/>
        <v>0</v>
      </c>
      <c r="M82" s="546">
        <f t="shared" si="72"/>
        <v>0</v>
      </c>
      <c r="N82" s="546">
        <f t="shared" si="72"/>
        <v>0</v>
      </c>
      <c r="O82" s="546">
        <f t="shared" si="72"/>
        <v>0</v>
      </c>
      <c r="P82" s="546">
        <f t="shared" si="72"/>
        <v>0</v>
      </c>
      <c r="Q82" s="546">
        <f t="shared" si="72"/>
        <v>0</v>
      </c>
      <c r="R82" s="546">
        <f t="shared" si="72"/>
        <v>0</v>
      </c>
      <c r="S82" s="546">
        <f t="shared" si="72"/>
        <v>0</v>
      </c>
      <c r="T82" s="546">
        <f t="shared" si="72"/>
        <v>0</v>
      </c>
    </row>
    <row r="83" spans="1:20" outlineLevel="1" x14ac:dyDescent="0.45">
      <c r="A83" s="111"/>
      <c r="B83" s="135" t="s">
        <v>224</v>
      </c>
      <c r="C83" s="122"/>
      <c r="D83" s="122"/>
      <c r="E83" s="122"/>
      <c r="G83" s="553">
        <f>'Historical BS'!C51</f>
        <v>0</v>
      </c>
      <c r="H83" s="553">
        <f>'Historical BS'!D51</f>
        <v>24856</v>
      </c>
      <c r="I83" s="553">
        <f>'Historical BS'!E51</f>
        <v>32348</v>
      </c>
      <c r="J83" s="553">
        <f>'Historical BS'!F51</f>
        <v>0</v>
      </c>
      <c r="K83" s="553">
        <f>'Historical BS'!G51</f>
        <v>0</v>
      </c>
      <c r="L83" s="552">
        <f t="shared" si="68"/>
        <v>0</v>
      </c>
      <c r="M83" s="552">
        <f t="shared" si="72"/>
        <v>0</v>
      </c>
      <c r="N83" s="552">
        <f t="shared" si="72"/>
        <v>0</v>
      </c>
      <c r="O83" s="552">
        <f t="shared" si="72"/>
        <v>0</v>
      </c>
      <c r="P83" s="552">
        <f t="shared" si="72"/>
        <v>0</v>
      </c>
      <c r="Q83" s="552">
        <f t="shared" si="72"/>
        <v>0</v>
      </c>
      <c r="R83" s="552">
        <f t="shared" si="72"/>
        <v>0</v>
      </c>
      <c r="S83" s="552">
        <f t="shared" si="72"/>
        <v>0</v>
      </c>
      <c r="T83" s="552">
        <f t="shared" si="72"/>
        <v>0</v>
      </c>
    </row>
    <row r="84" spans="1:20" outlineLevel="1" x14ac:dyDescent="0.45">
      <c r="A84" s="111"/>
      <c r="B84" s="48" t="s">
        <v>225</v>
      </c>
      <c r="C84" s="122"/>
      <c r="D84" s="122"/>
      <c r="E84" s="122"/>
      <c r="G84" s="546">
        <f>SUM(G76:G83)</f>
        <v>490108</v>
      </c>
      <c r="H84" s="546">
        <f t="shared" ref="H84:T84" si="73">SUM(H76:H83)</f>
        <v>682260</v>
      </c>
      <c r="I84" s="546">
        <f t="shared" si="73"/>
        <v>545817</v>
      </c>
      <c r="J84" s="546">
        <f t="shared" si="73"/>
        <v>595355</v>
      </c>
      <c r="K84" s="546">
        <f t="shared" si="73"/>
        <v>632333</v>
      </c>
      <c r="L84" s="546">
        <f t="shared" ca="1" si="73"/>
        <v>2712517.04</v>
      </c>
      <c r="M84" s="546">
        <f t="shared" ca="1" si="73"/>
        <v>2693017</v>
      </c>
      <c r="N84" s="546">
        <f t="shared" ca="1" si="73"/>
        <v>2667017</v>
      </c>
      <c r="O84" s="546">
        <f t="shared" ca="1" si="73"/>
        <v>2641017</v>
      </c>
      <c r="P84" s="546">
        <f t="shared" ca="1" si="73"/>
        <v>2615017</v>
      </c>
      <c r="Q84" s="546">
        <f t="shared" ca="1" si="73"/>
        <v>2495673.4561060695</v>
      </c>
      <c r="R84" s="546">
        <f t="shared" ca="1" si="73"/>
        <v>2206183.3740836969</v>
      </c>
      <c r="S84" s="546">
        <f t="shared" si="73"/>
        <v>600363</v>
      </c>
      <c r="T84" s="546">
        <f t="shared" ca="1" si="73"/>
        <v>2712517</v>
      </c>
    </row>
    <row r="85" spans="1:20" outlineLevel="1" x14ac:dyDescent="0.45">
      <c r="A85" s="111"/>
      <c r="B85" s="43"/>
      <c r="C85" s="122"/>
      <c r="D85" s="122"/>
      <c r="E85" s="122"/>
      <c r="G85" s="546"/>
      <c r="H85" s="546"/>
      <c r="I85" s="546"/>
      <c r="J85" s="546"/>
      <c r="K85" s="546"/>
      <c r="L85" s="546"/>
      <c r="M85" s="546"/>
      <c r="N85" s="546"/>
      <c r="O85" s="546"/>
      <c r="P85" s="546"/>
      <c r="Q85" s="546"/>
      <c r="R85" s="546"/>
      <c r="S85" s="546"/>
      <c r="T85" s="546"/>
    </row>
    <row r="86" spans="1:20" outlineLevel="1" x14ac:dyDescent="0.45">
      <c r="A86" s="107" t="s">
        <v>18</v>
      </c>
      <c r="B86" s="48" t="s">
        <v>226</v>
      </c>
      <c r="C86" s="122"/>
      <c r="D86" s="122"/>
      <c r="E86" s="122"/>
      <c r="G86" s="546">
        <f>G73+G84</f>
        <v>713821</v>
      </c>
      <c r="H86" s="546">
        <f t="shared" ref="H86:T86" si="74">H73+H84</f>
        <v>970972</v>
      </c>
      <c r="I86" s="546">
        <f t="shared" si="74"/>
        <v>913028</v>
      </c>
      <c r="J86" s="546">
        <f t="shared" si="74"/>
        <v>1033508</v>
      </c>
      <c r="K86" s="546">
        <f t="shared" si="74"/>
        <v>1182111</v>
      </c>
      <c r="L86" s="546">
        <f t="shared" ca="1" si="74"/>
        <v>3323553.2104690005</v>
      </c>
      <c r="M86" s="546">
        <f t="shared" ca="1" si="74"/>
        <v>3472730.9811446453</v>
      </c>
      <c r="N86" s="546">
        <f t="shared" ca="1" si="74"/>
        <v>3555317.2863174048</v>
      </c>
      <c r="O86" s="546">
        <f t="shared" ca="1" si="74"/>
        <v>3587053.706785447</v>
      </c>
      <c r="P86" s="546">
        <f t="shared" ca="1" si="74"/>
        <v>3527928.4226909154</v>
      </c>
      <c r="Q86" s="546">
        <f t="shared" ca="1" si="74"/>
        <v>3487820.5865991632</v>
      </c>
      <c r="R86" s="546">
        <f t="shared" ca="1" si="74"/>
        <v>3341407.999305035</v>
      </c>
      <c r="S86" s="546">
        <f t="shared" si="74"/>
        <v>1206324.8164572311</v>
      </c>
      <c r="T86" s="546">
        <f t="shared" ca="1" si="74"/>
        <v>3323553.1704690005</v>
      </c>
    </row>
    <row r="87" spans="1:20" outlineLevel="1" x14ac:dyDescent="0.45">
      <c r="A87" s="111"/>
      <c r="B87" s="48"/>
      <c r="C87" s="122"/>
      <c r="D87" s="122"/>
      <c r="E87" s="122"/>
    </row>
    <row r="88" spans="1:20" outlineLevel="1" x14ac:dyDescent="0.45">
      <c r="A88" s="111"/>
      <c r="B88" s="48" t="s">
        <v>227</v>
      </c>
      <c r="C88" s="122"/>
      <c r="D88" s="122"/>
      <c r="E88" s="122"/>
    </row>
    <row r="89" spans="1:20" outlineLevel="1" x14ac:dyDescent="0.45">
      <c r="A89" s="111"/>
      <c r="B89" s="135" t="s">
        <v>228</v>
      </c>
      <c r="C89" s="122"/>
      <c r="D89" s="122"/>
      <c r="E89" s="122"/>
      <c r="G89" s="545">
        <f>'Historical BS'!C53+'Historical BS'!C54</f>
        <v>2</v>
      </c>
      <c r="H89" s="545">
        <f>'Historical BS'!D53+'Historical BS'!D54</f>
        <v>2</v>
      </c>
      <c r="I89" s="545">
        <f>'Historical BS'!E53+'Historical BS'!E54</f>
        <v>14</v>
      </c>
      <c r="J89" s="545">
        <f>'Historical BS'!F53+'Historical BS'!F54</f>
        <v>13</v>
      </c>
      <c r="K89" s="545">
        <f>'Historical BS'!G53+'Historical BS'!G54</f>
        <v>14</v>
      </c>
      <c r="L89" s="546">
        <f>K89</f>
        <v>14</v>
      </c>
      <c r="M89" s="546">
        <f t="shared" ref="M89:T89" si="75">L89</f>
        <v>14</v>
      </c>
      <c r="N89" s="546">
        <f t="shared" si="75"/>
        <v>14</v>
      </c>
      <c r="O89" s="546">
        <f t="shared" si="75"/>
        <v>14</v>
      </c>
      <c r="P89" s="546">
        <f t="shared" si="75"/>
        <v>14</v>
      </c>
      <c r="Q89" s="546">
        <f t="shared" si="75"/>
        <v>14</v>
      </c>
      <c r="R89" s="546">
        <f t="shared" si="75"/>
        <v>14</v>
      </c>
      <c r="S89" s="546">
        <f t="shared" si="75"/>
        <v>14</v>
      </c>
      <c r="T89" s="546">
        <f t="shared" si="75"/>
        <v>14</v>
      </c>
    </row>
    <row r="90" spans="1:20" outlineLevel="1" x14ac:dyDescent="0.45">
      <c r="A90" s="111"/>
      <c r="B90" s="135" t="s">
        <v>229</v>
      </c>
      <c r="C90" s="122"/>
      <c r="D90" s="122"/>
      <c r="E90" s="122"/>
      <c r="G90" s="545">
        <f>'Historical BS'!C55</f>
        <v>1196</v>
      </c>
      <c r="H90" s="545">
        <f>'Historical BS'!D55</f>
        <v>9043</v>
      </c>
      <c r="I90" s="545">
        <f>'Historical BS'!E55</f>
        <v>911570</v>
      </c>
      <c r="J90" s="545">
        <f>'Historical BS'!F55</f>
        <v>875737</v>
      </c>
      <c r="K90" s="545">
        <f>'Historical BS'!G55</f>
        <v>924634</v>
      </c>
      <c r="L90" s="546">
        <f>K90</f>
        <v>924634</v>
      </c>
      <c r="M90" s="546">
        <f t="shared" ref="M90:T90" si="76">L90</f>
        <v>924634</v>
      </c>
      <c r="N90" s="546">
        <f t="shared" si="76"/>
        <v>924634</v>
      </c>
      <c r="O90" s="546">
        <f t="shared" si="76"/>
        <v>924634</v>
      </c>
      <c r="P90" s="546">
        <f t="shared" si="76"/>
        <v>924634</v>
      </c>
      <c r="Q90" s="546">
        <f t="shared" si="76"/>
        <v>924634</v>
      </c>
      <c r="R90" s="546">
        <f t="shared" si="76"/>
        <v>924634</v>
      </c>
      <c r="S90" s="546">
        <f t="shared" si="76"/>
        <v>924634</v>
      </c>
      <c r="T90" s="546">
        <f t="shared" si="76"/>
        <v>924634</v>
      </c>
    </row>
    <row r="91" spans="1:20" outlineLevel="1" x14ac:dyDescent="0.45">
      <c r="A91" s="111"/>
      <c r="B91" s="135" t="s">
        <v>1373</v>
      </c>
      <c r="C91" s="122"/>
      <c r="D91" s="122"/>
      <c r="E91" s="122"/>
      <c r="G91" s="545">
        <v>0</v>
      </c>
      <c r="H91" s="545">
        <v>0</v>
      </c>
      <c r="I91" s="545">
        <v>0</v>
      </c>
      <c r="J91" s="545">
        <v>0</v>
      </c>
      <c r="K91" s="545">
        <v>0</v>
      </c>
      <c r="L91" s="546">
        <f ca="1">L586</f>
        <v>-2290991.7518606093</v>
      </c>
      <c r="M91" s="546">
        <f t="shared" ref="M91:T91" ca="1" si="77">M586</f>
        <v>-2290991.7518606093</v>
      </c>
      <c r="N91" s="546">
        <f t="shared" ca="1" si="77"/>
        <v>-2290991.7518606093</v>
      </c>
      <c r="O91" s="546">
        <f t="shared" ca="1" si="77"/>
        <v>-2290991.7518606093</v>
      </c>
      <c r="P91" s="546">
        <f t="shared" ca="1" si="77"/>
        <v>-2290991.7518606093</v>
      </c>
      <c r="Q91" s="546">
        <f t="shared" ca="1" si="77"/>
        <v>-2290991.7518606093</v>
      </c>
      <c r="R91" s="546">
        <f t="shared" ca="1" si="77"/>
        <v>-2290991.7518606093</v>
      </c>
      <c r="S91" s="546">
        <f t="shared" si="77"/>
        <v>0</v>
      </c>
      <c r="T91" s="546">
        <f t="shared" ca="1" si="77"/>
        <v>-2290991.7518606093</v>
      </c>
    </row>
    <row r="92" spans="1:20" outlineLevel="1" x14ac:dyDescent="0.45">
      <c r="A92" s="111"/>
      <c r="B92" s="135" t="s">
        <v>230</v>
      </c>
      <c r="C92" s="122"/>
      <c r="D92" s="122"/>
      <c r="E92" s="122"/>
      <c r="G92" s="545">
        <f>'Historical BS'!C56</f>
        <v>-378182</v>
      </c>
      <c r="H92" s="545">
        <f>'Historical BS'!D56</f>
        <v>-675706</v>
      </c>
      <c r="I92" s="545">
        <f>'Historical BS'!E56</f>
        <v>-924855</v>
      </c>
      <c r="J92" s="545">
        <f>'Historical BS'!F56</f>
        <v>-1177076</v>
      </c>
      <c r="K92" s="545">
        <f>'Historical BS'!G56</f>
        <v>-1184157</v>
      </c>
      <c r="L92" s="546">
        <f ca="1">L592</f>
        <v>-1276685.6722078619</v>
      </c>
      <c r="M92" s="546">
        <f t="shared" ref="M92:T92" ca="1" si="78">M592</f>
        <v>-1411254.26238681</v>
      </c>
      <c r="N92" s="546">
        <f t="shared" ca="1" si="78"/>
        <v>-1490148.0260000725</v>
      </c>
      <c r="O92" s="546">
        <f ca="1">O592</f>
        <v>-1492696.296093259</v>
      </c>
      <c r="P92" s="546">
        <f t="shared" ca="1" si="78"/>
        <v>-1394963.2774743307</v>
      </c>
      <c r="Q92" s="546">
        <f t="shared" ca="1" si="78"/>
        <v>-1172095.6199941467</v>
      </c>
      <c r="R92" s="546">
        <f t="shared" ca="1" si="78"/>
        <v>-770407.44556376291</v>
      </c>
      <c r="S92" s="546">
        <f t="shared" ca="1" si="78"/>
        <v>-1133059.1071402866</v>
      </c>
      <c r="T92" s="546">
        <f t="shared" ca="1" si="78"/>
        <v>-1276685.6722078621</v>
      </c>
    </row>
    <row r="93" spans="1:20" outlineLevel="1" x14ac:dyDescent="0.45">
      <c r="A93" s="111"/>
      <c r="B93" s="135" t="s">
        <v>231</v>
      </c>
      <c r="C93" s="122"/>
      <c r="D93" s="122"/>
      <c r="E93" s="122"/>
      <c r="G93" s="553">
        <f>'Historical BS'!C57</f>
        <v>-108</v>
      </c>
      <c r="H93" s="553">
        <f>'Historical BS'!D57</f>
        <v>2455</v>
      </c>
      <c r="I93" s="553">
        <f>'Historical BS'!E57</f>
        <v>-208</v>
      </c>
      <c r="J93" s="553">
        <f>'Historical BS'!F57</f>
        <v>-1665</v>
      </c>
      <c r="K93" s="553">
        <f>'Historical BS'!G57</f>
        <v>-843</v>
      </c>
      <c r="L93" s="552">
        <f>K93</f>
        <v>-843</v>
      </c>
      <c r="M93" s="552">
        <f t="shared" ref="M93:T93" si="79">L93</f>
        <v>-843</v>
      </c>
      <c r="N93" s="552">
        <f t="shared" si="79"/>
        <v>-843</v>
      </c>
      <c r="O93" s="552">
        <f t="shared" si="79"/>
        <v>-843</v>
      </c>
      <c r="P93" s="552">
        <f t="shared" si="79"/>
        <v>-843</v>
      </c>
      <c r="Q93" s="552">
        <f t="shared" si="79"/>
        <v>-843</v>
      </c>
      <c r="R93" s="552">
        <f t="shared" si="79"/>
        <v>-843</v>
      </c>
      <c r="S93" s="552">
        <f t="shared" si="79"/>
        <v>-843</v>
      </c>
      <c r="T93" s="552">
        <f t="shared" si="79"/>
        <v>-843</v>
      </c>
    </row>
    <row r="94" spans="1:20" outlineLevel="1" x14ac:dyDescent="0.45">
      <c r="A94" s="111"/>
      <c r="B94" s="48" t="s">
        <v>232</v>
      </c>
      <c r="C94" s="122"/>
      <c r="D94" s="122"/>
      <c r="E94" s="122"/>
      <c r="G94" s="546">
        <f t="shared" ref="G94:L94" si="80">SUM(G89:G93)</f>
        <v>-377092</v>
      </c>
      <c r="H94" s="546">
        <f t="shared" si="80"/>
        <v>-664206</v>
      </c>
      <c r="I94" s="546">
        <f t="shared" si="80"/>
        <v>-13479</v>
      </c>
      <c r="J94" s="546">
        <f t="shared" si="80"/>
        <v>-302991</v>
      </c>
      <c r="K94" s="546">
        <f t="shared" si="80"/>
        <v>-260352</v>
      </c>
      <c r="L94" s="546">
        <f t="shared" ca="1" si="80"/>
        <v>-2643872.4240684714</v>
      </c>
      <c r="M94" s="546">
        <f t="shared" ref="M94:T94" ca="1" si="81">SUM(M89:M93)</f>
        <v>-2778441.0142474193</v>
      </c>
      <c r="N94" s="546">
        <f t="shared" ca="1" si="81"/>
        <v>-2857334.7778606815</v>
      </c>
      <c r="O94" s="546">
        <f t="shared" ca="1" si="81"/>
        <v>-2859883.0479538683</v>
      </c>
      <c r="P94" s="546">
        <f t="shared" ca="1" si="81"/>
        <v>-2762150.02933494</v>
      </c>
      <c r="Q94" s="546">
        <f t="shared" ca="1" si="81"/>
        <v>-2539282.371854756</v>
      </c>
      <c r="R94" s="546">
        <f t="shared" ca="1" si="81"/>
        <v>-2137594.1974243722</v>
      </c>
      <c r="S94" s="546">
        <f t="shared" ca="1" si="81"/>
        <v>-209254.10714028659</v>
      </c>
      <c r="T94" s="546">
        <f t="shared" ca="1" si="81"/>
        <v>-2643872.4240684714</v>
      </c>
    </row>
    <row r="95" spans="1:20" outlineLevel="1" x14ac:dyDescent="0.45">
      <c r="A95" s="111"/>
      <c r="B95" s="48"/>
      <c r="C95" s="122"/>
      <c r="D95" s="122"/>
      <c r="E95" s="122"/>
    </row>
    <row r="96" spans="1:20" outlineLevel="1" x14ac:dyDescent="0.45">
      <c r="A96" s="107" t="s">
        <v>18</v>
      </c>
      <c r="B96" s="48" t="s">
        <v>233</v>
      </c>
      <c r="C96" s="122"/>
      <c r="D96" s="122"/>
      <c r="E96" s="122"/>
      <c r="G96" s="572">
        <f t="shared" ref="G96:T96" si="82">G86+G94</f>
        <v>336729</v>
      </c>
      <c r="H96" s="573">
        <f t="shared" si="82"/>
        <v>306766</v>
      </c>
      <c r="I96" s="573">
        <f t="shared" si="82"/>
        <v>899549</v>
      </c>
      <c r="J96" s="573">
        <f t="shared" si="82"/>
        <v>730517</v>
      </c>
      <c r="K96" s="573">
        <f t="shared" si="82"/>
        <v>921759</v>
      </c>
      <c r="L96" s="573">
        <f t="shared" ca="1" si="82"/>
        <v>679680.78640052909</v>
      </c>
      <c r="M96" s="573">
        <f t="shared" ca="1" si="82"/>
        <v>694289.96689722594</v>
      </c>
      <c r="N96" s="573">
        <f t="shared" ca="1" si="82"/>
        <v>697982.5084567233</v>
      </c>
      <c r="O96" s="573">
        <f t="shared" ca="1" si="82"/>
        <v>727170.65883157868</v>
      </c>
      <c r="P96" s="573">
        <f t="shared" ca="1" si="82"/>
        <v>765778.39335597539</v>
      </c>
      <c r="Q96" s="573">
        <f t="shared" ca="1" si="82"/>
        <v>948538.21474440722</v>
      </c>
      <c r="R96" s="573">
        <f t="shared" ca="1" si="82"/>
        <v>1203813.8018806628</v>
      </c>
      <c r="S96" s="573">
        <f t="shared" ca="1" si="82"/>
        <v>997070.70931694447</v>
      </c>
      <c r="T96" s="574">
        <f t="shared" ca="1" si="82"/>
        <v>679680.74640052905</v>
      </c>
    </row>
    <row r="97" spans="1:20" x14ac:dyDescent="0.45">
      <c r="A97" s="111"/>
      <c r="B97" s="124"/>
      <c r="C97" s="122"/>
      <c r="D97" s="122"/>
      <c r="E97" s="122"/>
    </row>
    <row r="98" spans="1:20" ht="15" customHeight="1" x14ac:dyDescent="0.45">
      <c r="A98" s="107" t="s">
        <v>18</v>
      </c>
      <c r="B98" s="108" t="s">
        <v>234</v>
      </c>
      <c r="C98" s="109"/>
      <c r="D98" s="109"/>
      <c r="E98" s="109"/>
      <c r="F98" s="109"/>
      <c r="G98" s="109"/>
      <c r="H98" s="109"/>
      <c r="I98" s="109"/>
      <c r="J98" s="109"/>
      <c r="K98" s="109"/>
      <c r="L98" s="109"/>
      <c r="M98" s="109"/>
      <c r="N98" s="109"/>
      <c r="O98" s="109"/>
      <c r="P98" s="109"/>
      <c r="Q98" s="109"/>
      <c r="R98" s="109"/>
      <c r="S98" s="109"/>
      <c r="T98" s="109"/>
    </row>
    <row r="99" spans="1:20" outlineLevel="1" x14ac:dyDescent="0.45">
      <c r="A99" s="111"/>
      <c r="B99" s="616" t="s">
        <v>21</v>
      </c>
      <c r="C99" s="616"/>
      <c r="D99" s="122"/>
      <c r="E99" s="122"/>
      <c r="F99" s="3"/>
      <c r="G99" s="3"/>
      <c r="H99" s="3"/>
      <c r="I99" s="3"/>
      <c r="J99" s="3"/>
      <c r="K99" s="3"/>
      <c r="L99" s="3"/>
      <c r="M99" s="3"/>
      <c r="N99" s="3"/>
      <c r="O99" s="3"/>
      <c r="P99" s="3"/>
      <c r="Q99" s="3"/>
      <c r="R99" s="3"/>
      <c r="S99" s="615" t="s">
        <v>176</v>
      </c>
      <c r="T99" s="615"/>
    </row>
    <row r="100" spans="1:20" ht="14.65" outlineLevel="1" thickBot="1" x14ac:dyDescent="0.5">
      <c r="A100" s="111"/>
      <c r="B100" s="291"/>
      <c r="C100" s="291"/>
      <c r="D100" s="122"/>
      <c r="E100" s="122"/>
      <c r="F100" s="3"/>
      <c r="G100" s="517" t="s">
        <v>112</v>
      </c>
      <c r="H100" s="427" t="s">
        <v>113</v>
      </c>
      <c r="I100" s="427" t="s">
        <v>114</v>
      </c>
      <c r="J100" s="427" t="s">
        <v>115</v>
      </c>
      <c r="K100" s="427" t="s">
        <v>116</v>
      </c>
      <c r="L100" s="101" t="s">
        <v>117</v>
      </c>
      <c r="M100" s="102">
        <v>2025</v>
      </c>
      <c r="N100" s="102">
        <f>M100+1</f>
        <v>2026</v>
      </c>
      <c r="O100" s="102">
        <f t="shared" ref="O100" si="83">N100+1</f>
        <v>2027</v>
      </c>
      <c r="P100" s="102">
        <f t="shared" ref="P100" si="84">O100+1</f>
        <v>2028</v>
      </c>
      <c r="Q100" s="102">
        <f>P100+1</f>
        <v>2029</v>
      </c>
      <c r="R100" s="102">
        <f>Q100+1</f>
        <v>2030</v>
      </c>
      <c r="S100" s="284">
        <v>45582</v>
      </c>
      <c r="T100" s="284">
        <v>45657</v>
      </c>
    </row>
    <row r="101" spans="1:20" outlineLevel="1" x14ac:dyDescent="0.45">
      <c r="A101" s="111"/>
      <c r="B101" s="291"/>
      <c r="C101" s="291"/>
      <c r="D101" s="122"/>
      <c r="E101" s="122"/>
      <c r="F101" s="64" t="s">
        <v>119</v>
      </c>
      <c r="G101" s="425">
        <v>43830</v>
      </c>
      <c r="H101" s="425">
        <v>44196</v>
      </c>
      <c r="I101" s="425">
        <v>44561</v>
      </c>
      <c r="J101" s="425">
        <v>44926</v>
      </c>
      <c r="K101" s="425">
        <v>45291</v>
      </c>
      <c r="L101" s="425">
        <v>45657</v>
      </c>
      <c r="M101" s="425">
        <v>46022</v>
      </c>
      <c r="N101" s="425">
        <v>46387</v>
      </c>
      <c r="O101" s="425">
        <v>46752</v>
      </c>
      <c r="P101" s="425">
        <v>47118</v>
      </c>
      <c r="Q101" s="425">
        <v>47483</v>
      </c>
      <c r="R101" s="425">
        <v>47848</v>
      </c>
      <c r="S101" s="425">
        <v>45582</v>
      </c>
      <c r="T101" s="425">
        <v>45657</v>
      </c>
    </row>
    <row r="102" spans="1:20" outlineLevel="1" x14ac:dyDescent="0.45">
      <c r="A102" s="111"/>
      <c r="B102" s="291"/>
      <c r="C102" s="291"/>
      <c r="D102" s="122"/>
      <c r="E102" s="122"/>
      <c r="F102" s="64" t="s">
        <v>120</v>
      </c>
      <c r="G102" s="418">
        <v>365</v>
      </c>
      <c r="H102" s="288">
        <f>G102</f>
        <v>365</v>
      </c>
      <c r="I102" s="288">
        <f t="shared" ref="I102" si="85">H102</f>
        <v>365</v>
      </c>
      <c r="J102" s="288">
        <f t="shared" ref="J102" si="86">I102</f>
        <v>365</v>
      </c>
      <c r="K102" s="288">
        <f t="shared" ref="K102" si="87">J102</f>
        <v>365</v>
      </c>
      <c r="L102" s="288">
        <f t="shared" ref="L102" si="88">K102</f>
        <v>365</v>
      </c>
      <c r="M102" s="288">
        <f t="shared" ref="M102" si="89">L102</f>
        <v>365</v>
      </c>
      <c r="N102" s="288">
        <f t="shared" ref="N102" si="90">M102</f>
        <v>365</v>
      </c>
      <c r="O102" s="288">
        <f t="shared" ref="O102" si="91">N102</f>
        <v>365</v>
      </c>
      <c r="P102" s="288">
        <f t="shared" ref="P102" si="92">O102</f>
        <v>365</v>
      </c>
      <c r="Q102" s="288">
        <f t="shared" ref="Q102" si="93">P102</f>
        <v>365</v>
      </c>
      <c r="R102" s="288">
        <f t="shared" ref="R102" si="94">Q102</f>
        <v>365</v>
      </c>
      <c r="S102" s="288">
        <f>_xlfn.DAYS(S101,K101)</f>
        <v>291</v>
      </c>
      <c r="T102" s="288">
        <f>_xlfn.DAYS(T101,S101)</f>
        <v>75</v>
      </c>
    </row>
    <row r="103" spans="1:20" outlineLevel="1" x14ac:dyDescent="0.45">
      <c r="A103" s="111"/>
      <c r="B103" s="291"/>
      <c r="C103" s="291"/>
      <c r="D103" s="122"/>
      <c r="E103" s="122"/>
      <c r="F103" s="64" t="s">
        <v>122</v>
      </c>
      <c r="G103" s="439">
        <v>1</v>
      </c>
      <c r="H103" s="440">
        <f>YEARFRAC(G101,H101)</f>
        <v>1</v>
      </c>
      <c r="I103" s="440">
        <f t="shared" ref="I103" si="95">YEARFRAC(H101,I101)</f>
        <v>1</v>
      </c>
      <c r="J103" s="440">
        <f t="shared" ref="J103" si="96">YEARFRAC(I101,J101)</f>
        <v>1</v>
      </c>
      <c r="K103" s="440">
        <f t="shared" ref="K103" si="97">YEARFRAC(J101,K101)</f>
        <v>1</v>
      </c>
      <c r="L103" s="440">
        <f t="shared" ref="L103" si="98">YEARFRAC(K101,L101)</f>
        <v>1</v>
      </c>
      <c r="M103" s="440">
        <f t="shared" ref="M103" si="99">YEARFRAC(L101,M101)</f>
        <v>1</v>
      </c>
      <c r="N103" s="440">
        <f t="shared" ref="N103" si="100">YEARFRAC(M101,N101)</f>
        <v>1</v>
      </c>
      <c r="O103" s="440">
        <f t="shared" ref="O103" si="101">YEARFRAC(N101,O101)</f>
        <v>1</v>
      </c>
      <c r="P103" s="440">
        <f t="shared" ref="P103" si="102">YEARFRAC(O101,P101)</f>
        <v>1</v>
      </c>
      <c r="Q103" s="440">
        <f t="shared" ref="Q103" si="103">YEARFRAC(P101,Q101)</f>
        <v>1</v>
      </c>
      <c r="R103" s="440">
        <f t="shared" ref="R103" si="104">YEARFRAC(Q101,R101)</f>
        <v>1</v>
      </c>
      <c r="S103" s="590">
        <f>'Transaction Details'!$H$30</f>
        <v>0.79722222222222228</v>
      </c>
      <c r="T103" s="590">
        <f>'Transaction Details'!$H$31</f>
        <v>0.20277777777777772</v>
      </c>
    </row>
    <row r="104" spans="1:20" outlineLevel="1" x14ac:dyDescent="0.45">
      <c r="A104" s="111"/>
      <c r="B104" s="124"/>
      <c r="C104" s="122"/>
      <c r="D104" s="122"/>
      <c r="E104" s="122"/>
      <c r="F104" s="64" t="s">
        <v>123</v>
      </c>
      <c r="G104" s="426" t="s">
        <v>124</v>
      </c>
      <c r="H104" s="426" t="s">
        <v>124</v>
      </c>
      <c r="I104" s="426" t="s">
        <v>124</v>
      </c>
      <c r="J104" s="426" t="s">
        <v>124</v>
      </c>
      <c r="K104" s="426" t="s">
        <v>124</v>
      </c>
      <c r="L104" s="426" t="s">
        <v>124</v>
      </c>
      <c r="M104" s="426" t="s">
        <v>124</v>
      </c>
      <c r="N104" s="426" t="s">
        <v>124</v>
      </c>
      <c r="O104" s="426" t="s">
        <v>124</v>
      </c>
      <c r="P104" s="426" t="s">
        <v>124</v>
      </c>
      <c r="Q104" s="426" t="s">
        <v>124</v>
      </c>
      <c r="R104" s="426" t="s">
        <v>124</v>
      </c>
      <c r="S104" s="426" t="s">
        <v>124</v>
      </c>
      <c r="T104" s="426" t="s">
        <v>124</v>
      </c>
    </row>
    <row r="105" spans="1:20" outlineLevel="1" x14ac:dyDescent="0.45">
      <c r="A105" s="111"/>
      <c r="B105" s="116"/>
      <c r="F105" s="114"/>
      <c r="G105" s="115"/>
      <c r="H105" s="115"/>
      <c r="I105" s="115"/>
      <c r="J105" s="115"/>
      <c r="K105" s="115"/>
      <c r="L105" s="115"/>
      <c r="M105" s="115"/>
      <c r="N105" s="115"/>
      <c r="O105" s="115"/>
      <c r="P105" s="115"/>
      <c r="Q105" s="115"/>
      <c r="R105" s="115"/>
    </row>
    <row r="106" spans="1:20" outlineLevel="1" x14ac:dyDescent="0.45">
      <c r="A106" s="111"/>
      <c r="B106" s="116"/>
      <c r="F106" s="114"/>
      <c r="G106" s="115"/>
      <c r="H106" s="115"/>
      <c r="I106" s="115"/>
      <c r="J106" s="115"/>
      <c r="K106" s="115"/>
      <c r="L106" s="115"/>
      <c r="M106" s="115"/>
      <c r="N106" s="115"/>
      <c r="O106" s="115"/>
      <c r="P106" s="115"/>
      <c r="Q106" s="115"/>
      <c r="R106" s="115"/>
    </row>
    <row r="107" spans="1:20" outlineLevel="1" x14ac:dyDescent="0.45">
      <c r="A107" s="107" t="s">
        <v>18</v>
      </c>
      <c r="B107" s="30" t="s">
        <v>235</v>
      </c>
      <c r="C107" s="122"/>
      <c r="D107" s="122"/>
      <c r="E107" s="122"/>
      <c r="G107" s="136"/>
      <c r="H107" s="136"/>
      <c r="I107" s="136"/>
      <c r="J107" s="136"/>
      <c r="K107" s="136"/>
      <c r="L107" s="136"/>
      <c r="M107" s="136"/>
      <c r="N107" s="136"/>
      <c r="O107" s="136"/>
      <c r="P107" s="136"/>
      <c r="Q107" s="136"/>
      <c r="R107" s="136"/>
    </row>
    <row r="108" spans="1:20" outlineLevel="1" x14ac:dyDescent="0.45">
      <c r="A108" s="111"/>
      <c r="B108" s="133" t="s">
        <v>188</v>
      </c>
      <c r="C108" s="122"/>
      <c r="D108" s="122"/>
      <c r="E108" s="122"/>
      <c r="G108" s="545">
        <f>'Historical CFS'!C17</f>
        <v>58152</v>
      </c>
      <c r="H108" s="545">
        <f>'Historical CFS'!D17</f>
        <v>30588</v>
      </c>
      <c r="I108" s="545">
        <f>'Historical CFS'!E17</f>
        <v>-249149</v>
      </c>
      <c r="J108" s="545">
        <f>'Historical CFS'!F17</f>
        <v>-252221</v>
      </c>
      <c r="K108" s="545">
        <f>'Historical CFS'!G17</f>
        <v>-7081</v>
      </c>
      <c r="L108" s="546">
        <f t="shared" ref="L108:T108" ca="1" si="105">L29</f>
        <v>-92528.672207861993</v>
      </c>
      <c r="M108" s="546">
        <f t="shared" ca="1" si="105"/>
        <v>-134568.59017894819</v>
      </c>
      <c r="N108" s="546">
        <f t="shared" ca="1" si="105"/>
        <v>-78893.763613262345</v>
      </c>
      <c r="O108" s="546">
        <f t="shared" ca="1" si="105"/>
        <v>-2548.270093186477</v>
      </c>
      <c r="P108" s="546">
        <f t="shared" ca="1" si="105"/>
        <v>97733.018618928356</v>
      </c>
      <c r="Q108" s="546">
        <f t="shared" ca="1" si="105"/>
        <v>222867.6574801839</v>
      </c>
      <c r="R108" s="546">
        <f t="shared" ca="1" si="105"/>
        <v>401688.17443038383</v>
      </c>
      <c r="S108" s="546">
        <f t="shared" ca="1" si="105"/>
        <v>51097.892859713378</v>
      </c>
      <c r="T108" s="546">
        <f t="shared" ca="1" si="105"/>
        <v>-143626.56506757549</v>
      </c>
    </row>
    <row r="109" spans="1:20" outlineLevel="1" x14ac:dyDescent="0.45">
      <c r="A109" s="111"/>
      <c r="B109" s="133" t="s">
        <v>236</v>
      </c>
      <c r="C109" s="122"/>
      <c r="D109" s="122"/>
      <c r="E109" s="122"/>
      <c r="G109" s="545">
        <f>'Historical CFS'!C18</f>
        <v>18309</v>
      </c>
      <c r="H109" s="545">
        <f>'Historical CFS'!D18</f>
        <v>21703</v>
      </c>
      <c r="I109" s="545">
        <f>'Historical CFS'!E18</f>
        <v>32720</v>
      </c>
      <c r="J109" s="545">
        <f>'Historical CFS'!F18</f>
        <v>31617</v>
      </c>
      <c r="K109" s="545">
        <f>'Historical CFS'!G18</f>
        <v>43927</v>
      </c>
      <c r="L109" s="546">
        <f t="shared" ref="L109:T109" si="106">L31</f>
        <v>62579.209237984003</v>
      </c>
      <c r="M109" s="546">
        <f t="shared" si="106"/>
        <v>81720.764301626652</v>
      </c>
      <c r="N109" s="546">
        <f t="shared" si="106"/>
        <v>76466.477537982835</v>
      </c>
      <c r="O109" s="546">
        <f t="shared" si="106"/>
        <v>63596.65773887535</v>
      </c>
      <c r="P109" s="546">
        <f t="shared" si="106"/>
        <v>68386.08588877233</v>
      </c>
      <c r="Q109" s="546">
        <f t="shared" si="106"/>
        <v>60831.108823674949</v>
      </c>
      <c r="R109" s="546">
        <f t="shared" si="106"/>
        <v>65838.984079344489</v>
      </c>
      <c r="S109" s="546">
        <f t="shared" si="106"/>
        <v>49889.536253615028</v>
      </c>
      <c r="T109" s="546">
        <f t="shared" si="106"/>
        <v>12689.672984368975</v>
      </c>
    </row>
    <row r="110" spans="1:20" outlineLevel="1" x14ac:dyDescent="0.45">
      <c r="A110" s="111"/>
      <c r="B110" s="133" t="s">
        <v>183</v>
      </c>
      <c r="C110" s="122"/>
      <c r="D110" s="122"/>
      <c r="E110" s="122"/>
      <c r="G110" s="545">
        <f>'Historical CFS'!C19</f>
        <v>0</v>
      </c>
      <c r="H110" s="545">
        <f>'Historical CFS'!D19</f>
        <v>0</v>
      </c>
      <c r="I110" s="545">
        <f>'Historical CFS'!E19</f>
        <v>0</v>
      </c>
      <c r="J110" s="545">
        <f>'Historical CFS'!F19</f>
        <v>225163</v>
      </c>
      <c r="K110" s="545">
        <f>'Historical CFS'!G19</f>
        <v>0</v>
      </c>
      <c r="L110" s="546">
        <f t="shared" ref="L110:T110" si="107">-L17</f>
        <v>0</v>
      </c>
      <c r="M110" s="546">
        <f t="shared" si="107"/>
        <v>0</v>
      </c>
      <c r="N110" s="546">
        <f t="shared" si="107"/>
        <v>0</v>
      </c>
      <c r="O110" s="546">
        <f t="shared" si="107"/>
        <v>0</v>
      </c>
      <c r="P110" s="546">
        <f t="shared" si="107"/>
        <v>0</v>
      </c>
      <c r="Q110" s="546">
        <f t="shared" si="107"/>
        <v>0</v>
      </c>
      <c r="R110" s="546">
        <f t="shared" si="107"/>
        <v>0</v>
      </c>
      <c r="S110" s="546">
        <f t="shared" si="107"/>
        <v>0</v>
      </c>
      <c r="T110" s="546">
        <f t="shared" si="107"/>
        <v>0</v>
      </c>
    </row>
    <row r="111" spans="1:20" outlineLevel="1" x14ac:dyDescent="0.45">
      <c r="A111" s="111"/>
      <c r="B111" s="133" t="s">
        <v>237</v>
      </c>
      <c r="C111" s="122"/>
      <c r="D111" s="122"/>
      <c r="E111" s="122"/>
      <c r="G111" s="545">
        <f>'Historical CFS'!C20</f>
        <v>17975</v>
      </c>
      <c r="H111" s="545">
        <f>'Historical CFS'!D20</f>
        <v>31254</v>
      </c>
      <c r="I111" s="545">
        <f>'Historical CFS'!E20</f>
        <v>307924</v>
      </c>
      <c r="J111" s="545">
        <f>'Historical CFS'!F20</f>
        <v>102533</v>
      </c>
      <c r="K111" s="545">
        <f>'Historical CFS'!G20</f>
        <v>107749</v>
      </c>
      <c r="L111" s="546">
        <v>0</v>
      </c>
      <c r="M111" s="546">
        <v>0</v>
      </c>
      <c r="N111" s="546">
        <v>0</v>
      </c>
      <c r="O111" s="546">
        <v>0</v>
      </c>
      <c r="P111" s="546">
        <v>0</v>
      </c>
      <c r="Q111" s="546">
        <v>0</v>
      </c>
      <c r="R111" s="546">
        <v>0</v>
      </c>
      <c r="S111" s="546">
        <v>0</v>
      </c>
      <c r="T111" s="546">
        <v>0</v>
      </c>
    </row>
    <row r="112" spans="1:20" outlineLevel="1" x14ac:dyDescent="0.45">
      <c r="A112" s="111"/>
      <c r="B112" s="133" t="s">
        <v>1376</v>
      </c>
      <c r="C112" s="122"/>
      <c r="D112" s="122"/>
      <c r="E112" s="122"/>
      <c r="G112" s="545">
        <v>0</v>
      </c>
      <c r="H112" s="545">
        <v>0</v>
      </c>
      <c r="I112" s="545">
        <v>0</v>
      </c>
      <c r="J112" s="545">
        <v>0</v>
      </c>
      <c r="K112" s="545">
        <v>0</v>
      </c>
      <c r="L112" s="546">
        <f t="shared" ref="L112:R112" si="108">K49-L49</f>
        <v>-2195</v>
      </c>
      <c r="M112" s="546">
        <f t="shared" si="108"/>
        <v>0</v>
      </c>
      <c r="N112" s="546">
        <f t="shared" si="108"/>
        <v>0</v>
      </c>
      <c r="O112" s="546">
        <f t="shared" si="108"/>
        <v>0</v>
      </c>
      <c r="P112" s="546">
        <f t="shared" si="108"/>
        <v>0</v>
      </c>
      <c r="Q112" s="546">
        <f t="shared" si="108"/>
        <v>0</v>
      </c>
      <c r="R112" s="546">
        <f t="shared" si="108"/>
        <v>0</v>
      </c>
      <c r="S112" s="546">
        <f>K49-S49</f>
        <v>-2195</v>
      </c>
      <c r="T112" s="546">
        <f>S49-T49</f>
        <v>0</v>
      </c>
    </row>
    <row r="113" spans="1:20" outlineLevel="1" x14ac:dyDescent="0.45">
      <c r="A113" s="111"/>
      <c r="B113" s="133" t="s">
        <v>200</v>
      </c>
      <c r="C113" s="122"/>
      <c r="D113" s="122"/>
      <c r="E113" s="122"/>
      <c r="G113" s="545">
        <f>'Historical CFS'!C21</f>
        <v>-4018</v>
      </c>
      <c r="H113" s="545">
        <f>'Historical CFS'!D21</f>
        <v>-4852</v>
      </c>
      <c r="I113" s="545">
        <f>'Historical CFS'!E21</f>
        <v>3196</v>
      </c>
      <c r="J113" s="545">
        <f>'Historical CFS'!F21</f>
        <v>788</v>
      </c>
      <c r="K113" s="545">
        <f>'Historical CFS'!G21</f>
        <v>251</v>
      </c>
      <c r="L113" s="546">
        <f t="shared" ref="L113:T113" si="109">L79-K79</f>
        <v>0</v>
      </c>
      <c r="M113" s="546">
        <f t="shared" si="109"/>
        <v>0</v>
      </c>
      <c r="N113" s="546">
        <f t="shared" si="109"/>
        <v>0</v>
      </c>
      <c r="O113" s="546">
        <f t="shared" si="109"/>
        <v>0</v>
      </c>
      <c r="P113" s="546">
        <f t="shared" si="109"/>
        <v>0</v>
      </c>
      <c r="Q113" s="546">
        <f t="shared" si="109"/>
        <v>0</v>
      </c>
      <c r="R113" s="546">
        <f t="shared" si="109"/>
        <v>0</v>
      </c>
      <c r="S113" s="546">
        <f t="shared" si="109"/>
        <v>0</v>
      </c>
      <c r="T113" s="546">
        <f t="shared" si="109"/>
        <v>0</v>
      </c>
    </row>
    <row r="114" spans="1:20" outlineLevel="1" x14ac:dyDescent="0.45">
      <c r="A114" s="111"/>
      <c r="B114" s="133" t="s">
        <v>238</v>
      </c>
      <c r="C114" s="122"/>
      <c r="D114" s="122"/>
      <c r="E114" s="122"/>
      <c r="G114" s="545">
        <f>'Historical CFS'!C22</f>
        <v>-310</v>
      </c>
      <c r="H114" s="545">
        <f>'Historical CFS'!D22</f>
        <v>2437</v>
      </c>
      <c r="I114" s="545">
        <f>'Historical CFS'!E22</f>
        <v>1181</v>
      </c>
      <c r="J114" s="545">
        <f>'Historical CFS'!F22</f>
        <v>832</v>
      </c>
      <c r="K114" s="545">
        <f>'Historical CFS'!G22</f>
        <v>831</v>
      </c>
      <c r="L114" s="546">
        <v>0</v>
      </c>
      <c r="M114" s="546">
        <v>0</v>
      </c>
      <c r="N114" s="546">
        <v>0</v>
      </c>
      <c r="O114" s="546">
        <v>0</v>
      </c>
      <c r="P114" s="546">
        <v>0</v>
      </c>
      <c r="Q114" s="546">
        <v>0</v>
      </c>
      <c r="R114" s="546">
        <v>0</v>
      </c>
      <c r="S114" s="546">
        <v>0</v>
      </c>
      <c r="T114" s="546">
        <v>0</v>
      </c>
    </row>
    <row r="115" spans="1:20" outlineLevel="1" x14ac:dyDescent="0.45">
      <c r="A115" s="111"/>
      <c r="B115" s="133" t="s">
        <v>239</v>
      </c>
      <c r="C115" s="122"/>
      <c r="D115" s="122"/>
      <c r="E115" s="122"/>
      <c r="G115" s="545">
        <f>'Historical CFS'!C23</f>
        <v>0</v>
      </c>
      <c r="H115" s="545">
        <f>'Historical CFS'!D23</f>
        <v>0</v>
      </c>
      <c r="I115" s="545">
        <f>'Historical CFS'!E23</f>
        <v>0</v>
      </c>
      <c r="J115" s="545">
        <f>'Historical CFS'!F23</f>
        <v>2227</v>
      </c>
      <c r="K115" s="545">
        <f>'Historical CFS'!G23</f>
        <v>-2286</v>
      </c>
      <c r="L115" s="546">
        <f t="shared" ref="L115" si="110">T115</f>
        <v>0</v>
      </c>
      <c r="M115" s="546">
        <f t="shared" ref="M115" si="111">U115</f>
        <v>0</v>
      </c>
      <c r="N115" s="546">
        <f t="shared" ref="N115" si="112">V115</f>
        <v>0</v>
      </c>
      <c r="O115" s="546">
        <f t="shared" ref="O115" si="113">W115</f>
        <v>0</v>
      </c>
      <c r="P115" s="546">
        <f t="shared" ref="P115" si="114">X115</f>
        <v>0</v>
      </c>
      <c r="Q115" s="546">
        <f t="shared" ref="Q115" si="115">Y115</f>
        <v>0</v>
      </c>
      <c r="R115" s="546">
        <f t="shared" ref="R115" si="116">Z115</f>
        <v>0</v>
      </c>
      <c r="S115" s="546">
        <f t="shared" ref="S115" si="117">AA115</f>
        <v>0</v>
      </c>
      <c r="T115" s="546">
        <f t="shared" ref="T115" si="118">AB115</f>
        <v>0</v>
      </c>
    </row>
    <row r="116" spans="1:20" outlineLevel="1" x14ac:dyDescent="0.45">
      <c r="A116" s="111"/>
      <c r="B116" s="133" t="s">
        <v>240</v>
      </c>
      <c r="C116" s="122"/>
      <c r="D116" s="122"/>
      <c r="E116" s="122"/>
      <c r="G116" s="545">
        <f>'Historical CFS'!C24</f>
        <v>-133</v>
      </c>
      <c r="H116" s="545">
        <f>'Historical CFS'!D24</f>
        <v>-2936</v>
      </c>
      <c r="I116" s="545">
        <f>'Historical CFS'!E24</f>
        <v>712</v>
      </c>
      <c r="J116" s="545">
        <f>'Historical CFS'!F24</f>
        <v>-5461</v>
      </c>
      <c r="K116" s="545">
        <f>'Historical CFS'!G24</f>
        <v>-15678</v>
      </c>
      <c r="L116" s="546">
        <f t="shared" ref="L116:R116" si="119">SUM(K46:K47)-SUM(L46:L47)</f>
        <v>-718.53427669589291</v>
      </c>
      <c r="M116" s="546">
        <f t="shared" si="119"/>
        <v>-1620.9255683577212</v>
      </c>
      <c r="N116" s="546">
        <f t="shared" si="119"/>
        <v>-2105.6158522560072</v>
      </c>
      <c r="O116" s="546">
        <f t="shared" si="119"/>
        <v>-2577.832033775092</v>
      </c>
      <c r="P116" s="546">
        <f t="shared" si="119"/>
        <v>-2825.4035382197908</v>
      </c>
      <c r="Q116" s="546">
        <f t="shared" si="119"/>
        <v>-2999.9858642871477</v>
      </c>
      <c r="R116" s="546">
        <f t="shared" si="119"/>
        <v>-3315.1473564974804</v>
      </c>
      <c r="S116" s="546">
        <f>SUM(K46,K47)-SUM(S46:S47)</f>
        <v>-572.83149281033548</v>
      </c>
      <c r="T116" s="546">
        <f>SUM(S46:S47)-SUM(T46:T47)</f>
        <v>-145.70278388555744</v>
      </c>
    </row>
    <row r="117" spans="1:20" outlineLevel="1" x14ac:dyDescent="0.45">
      <c r="A117" s="116"/>
      <c r="B117" s="133" t="s">
        <v>241</v>
      </c>
      <c r="C117" s="121"/>
      <c r="D117" s="121"/>
      <c r="E117" s="121"/>
      <c r="G117" s="545">
        <f>'Historical CFS'!C25</f>
        <v>987</v>
      </c>
      <c r="H117" s="545">
        <f>'Historical CFS'!D25</f>
        <v>27115</v>
      </c>
      <c r="I117" s="545">
        <f>'Historical CFS'!E25</f>
        <v>14525</v>
      </c>
      <c r="J117" s="545">
        <f>'Historical CFS'!F25</f>
        <v>-2215</v>
      </c>
      <c r="K117" s="545">
        <f>'Historical CFS'!G25</f>
        <v>33519</v>
      </c>
      <c r="L117" s="546">
        <f t="shared" ref="L117:R117" si="120">SUM(L65:L66)-SUM(K65:K66)</f>
        <v>4779.8800234005612</v>
      </c>
      <c r="M117" s="546">
        <f t="shared" si="120"/>
        <v>12627.566072611051</v>
      </c>
      <c r="N117" s="546">
        <f t="shared" si="120"/>
        <v>15963.60969271019</v>
      </c>
      <c r="O117" s="546">
        <f t="shared" si="120"/>
        <v>19826.792474379909</v>
      </c>
      <c r="P117" s="546">
        <f t="shared" si="120"/>
        <v>23362.211175425036</v>
      </c>
      <c r="Q117" s="546">
        <f t="shared" si="120"/>
        <v>27228.983717896161</v>
      </c>
      <c r="R117" s="546">
        <f t="shared" si="120"/>
        <v>31768.550734331395</v>
      </c>
      <c r="S117" s="546">
        <f>SUM(S65:S66)-SUM(K65:K66)</f>
        <v>3810.6265742109972</v>
      </c>
      <c r="T117" s="546">
        <f>SUM(T65:T66)-SUM(S65:S66)</f>
        <v>969.25344918956398</v>
      </c>
    </row>
    <row r="118" spans="1:20" outlineLevel="1" x14ac:dyDescent="0.45">
      <c r="A118" s="111"/>
      <c r="B118" s="133" t="s">
        <v>211</v>
      </c>
      <c r="C118" s="122"/>
      <c r="D118" s="122"/>
      <c r="E118" s="122"/>
      <c r="G118" s="545">
        <f>'Historical CFS'!C26</f>
        <v>30347</v>
      </c>
      <c r="H118" s="545">
        <f>'Historical CFS'!D26</f>
        <v>40104</v>
      </c>
      <c r="I118" s="545">
        <f>'Historical CFS'!E26</f>
        <v>29364</v>
      </c>
      <c r="J118" s="545">
        <f>'Historical CFS'!F26</f>
        <v>39464</v>
      </c>
      <c r="K118" s="545">
        <f>'Historical CFS'!G26</f>
        <v>61364</v>
      </c>
      <c r="L118" s="546">
        <f t="shared" ref="L118:R118" si="121">L69-K69</f>
        <v>55455.290445600054</v>
      </c>
      <c r="M118" s="546">
        <f t="shared" si="121"/>
        <v>41776.260582465155</v>
      </c>
      <c r="N118" s="546">
        <f t="shared" si="121"/>
        <v>53125.518970908655</v>
      </c>
      <c r="O118" s="546">
        <f t="shared" si="121"/>
        <v>66339.207623747294</v>
      </c>
      <c r="P118" s="546">
        <f t="shared" si="121"/>
        <v>78627.922682419769</v>
      </c>
      <c r="Q118" s="546">
        <f t="shared" si="121"/>
        <v>92232.887031529914</v>
      </c>
      <c r="R118" s="546">
        <f t="shared" si="121"/>
        <v>111308.94399391313</v>
      </c>
      <c r="S118" s="546">
        <f>S69-$K$69</f>
        <v>44210.189883020066</v>
      </c>
      <c r="T118" s="546">
        <f>T69-S69</f>
        <v>11245.100562579988</v>
      </c>
    </row>
    <row r="119" spans="1:20" outlineLevel="1" x14ac:dyDescent="0.45">
      <c r="A119" s="111"/>
      <c r="B119" s="133" t="s">
        <v>194</v>
      </c>
      <c r="C119" s="122"/>
      <c r="D119" s="122"/>
      <c r="E119" s="122"/>
      <c r="G119" s="545">
        <f>'Historical CFS'!C27</f>
        <v>-17910</v>
      </c>
      <c r="H119" s="545">
        <f>'Historical CFS'!D27</f>
        <v>8659</v>
      </c>
      <c r="I119" s="545">
        <f>'Historical CFS'!E27</f>
        <v>-35423</v>
      </c>
      <c r="J119" s="545">
        <f>'Historical CFS'!F27</f>
        <v>3699</v>
      </c>
      <c r="K119" s="545">
        <f>'Historical CFS'!G27</f>
        <v>-458</v>
      </c>
      <c r="L119" s="546">
        <f t="shared" ref="L119:R119" si="122">K48-L48</f>
        <v>-9938.8015826666742</v>
      </c>
      <c r="M119" s="546">
        <f t="shared" si="122"/>
        <v>-9590.5133536164285</v>
      </c>
      <c r="N119" s="546">
        <f t="shared" si="122"/>
        <v>-12115.030063545884</v>
      </c>
      <c r="O119" s="546">
        <f t="shared" si="122"/>
        <v>-15222.347313220918</v>
      </c>
      <c r="P119" s="546">
        <f t="shared" si="122"/>
        <v>-18461.798651521196</v>
      </c>
      <c r="Q119" s="546">
        <f t="shared" si="122"/>
        <v>-22229.828606768104</v>
      </c>
      <c r="R119" s="546">
        <f t="shared" si="122"/>
        <v>-27384.701751351589</v>
      </c>
      <c r="S119" s="546">
        <f>K48-S48</f>
        <v>-7923.433483959263</v>
      </c>
      <c r="T119" s="546">
        <f>S48-T48</f>
        <v>-2015.3680987074113</v>
      </c>
    </row>
    <row r="120" spans="1:20" outlineLevel="1" x14ac:dyDescent="0.45">
      <c r="A120" s="111"/>
      <c r="B120" s="133" t="s">
        <v>242</v>
      </c>
      <c r="C120" s="122"/>
      <c r="D120" s="122"/>
      <c r="E120" s="122"/>
      <c r="G120" s="545">
        <f>'Historical CFS'!C28</f>
        <v>-1266</v>
      </c>
      <c r="H120" s="545">
        <f>'Historical CFS'!D28</f>
        <v>-4042</v>
      </c>
      <c r="I120" s="545">
        <f>'Historical CFS'!E28</f>
        <v>7381</v>
      </c>
      <c r="J120" s="545">
        <f>'Historical CFS'!F28</f>
        <v>9086</v>
      </c>
      <c r="K120" s="545">
        <f>'Historical CFS'!G28</f>
        <v>5152</v>
      </c>
      <c r="L120" s="546">
        <v>0</v>
      </c>
      <c r="M120" s="546">
        <v>0</v>
      </c>
      <c r="N120" s="546">
        <v>0</v>
      </c>
      <c r="O120" s="546">
        <v>0</v>
      </c>
      <c r="P120" s="546">
        <v>0</v>
      </c>
      <c r="Q120" s="546">
        <v>0</v>
      </c>
      <c r="R120" s="546">
        <v>0</v>
      </c>
      <c r="S120" s="546">
        <v>0</v>
      </c>
      <c r="T120" s="546">
        <v>0</v>
      </c>
    </row>
    <row r="121" spans="1:20" outlineLevel="1" x14ac:dyDescent="0.45">
      <c r="B121" s="133" t="s">
        <v>243</v>
      </c>
      <c r="G121" s="545">
        <f>'Historical CFS'!C29</f>
        <v>200</v>
      </c>
      <c r="H121" s="545">
        <f>'Historical CFS'!D29</f>
        <v>0</v>
      </c>
      <c r="I121" s="545">
        <f>'Historical CFS'!E29</f>
        <v>0</v>
      </c>
      <c r="J121" s="545">
        <f>'Historical CFS'!F29</f>
        <v>0</v>
      </c>
      <c r="K121" s="545">
        <f>'Historical CFS'!G29</f>
        <v>0</v>
      </c>
      <c r="L121" s="546">
        <v>0</v>
      </c>
      <c r="M121" s="546">
        <v>0</v>
      </c>
      <c r="N121" s="546">
        <v>0</v>
      </c>
      <c r="O121" s="546">
        <v>0</v>
      </c>
      <c r="P121" s="546">
        <v>0</v>
      </c>
      <c r="Q121" s="546">
        <v>0</v>
      </c>
      <c r="R121" s="546">
        <v>0</v>
      </c>
      <c r="S121" s="546">
        <v>0</v>
      </c>
      <c r="T121" s="546">
        <v>0</v>
      </c>
    </row>
    <row r="122" spans="1:20" outlineLevel="1" x14ac:dyDescent="0.45">
      <c r="B122" s="133" t="s">
        <v>213</v>
      </c>
      <c r="G122" s="553">
        <f>'Historical CFS'!C30</f>
        <v>0</v>
      </c>
      <c r="H122" s="553">
        <f>'Historical CFS'!D30</f>
        <v>0</v>
      </c>
      <c r="I122" s="553">
        <f>'Historical CFS'!E30</f>
        <v>10726</v>
      </c>
      <c r="J122" s="553">
        <f>'Historical CFS'!F30</f>
        <v>8707</v>
      </c>
      <c r="K122" s="553">
        <f>'Historical CFS'!G30</f>
        <v>3827</v>
      </c>
      <c r="L122" s="552">
        <f t="shared" ref="L122:T122" si="123">L71-K71</f>
        <v>0</v>
      </c>
      <c r="M122" s="552">
        <f t="shared" si="123"/>
        <v>0</v>
      </c>
      <c r="N122" s="552">
        <f t="shared" si="123"/>
        <v>0</v>
      </c>
      <c r="O122" s="552">
        <f t="shared" si="123"/>
        <v>0</v>
      </c>
      <c r="P122" s="552">
        <f t="shared" si="123"/>
        <v>0</v>
      </c>
      <c r="Q122" s="552">
        <f t="shared" si="123"/>
        <v>0</v>
      </c>
      <c r="R122" s="552">
        <f t="shared" si="123"/>
        <v>0</v>
      </c>
      <c r="S122" s="552">
        <f t="shared" si="123"/>
        <v>0</v>
      </c>
      <c r="T122" s="552">
        <f t="shared" si="123"/>
        <v>0</v>
      </c>
    </row>
    <row r="123" spans="1:20" outlineLevel="1" x14ac:dyDescent="0.45">
      <c r="B123" s="30" t="s">
        <v>244</v>
      </c>
      <c r="G123" s="546">
        <f t="shared" ref="G123:T123" si="124">SUM(G108:G122)</f>
        <v>102333</v>
      </c>
      <c r="H123" s="546">
        <f t="shared" si="124"/>
        <v>150030</v>
      </c>
      <c r="I123" s="546">
        <f t="shared" si="124"/>
        <v>123157</v>
      </c>
      <c r="J123" s="546">
        <f t="shared" si="124"/>
        <v>164219</v>
      </c>
      <c r="K123" s="546">
        <f t="shared" si="124"/>
        <v>231117</v>
      </c>
      <c r="L123" s="546">
        <f t="shared" ca="1" si="124"/>
        <v>17433.371639760058</v>
      </c>
      <c r="M123" s="546">
        <f t="shared" ca="1" si="124"/>
        <v>-9655.438144219479</v>
      </c>
      <c r="N123" s="546">
        <f t="shared" ca="1" si="124"/>
        <v>52441.196672537444</v>
      </c>
      <c r="O123" s="546">
        <f t="shared" ca="1" si="124"/>
        <v>129414.20839682007</v>
      </c>
      <c r="P123" s="546">
        <f t="shared" ca="1" si="124"/>
        <v>246822.0361758045</v>
      </c>
      <c r="Q123" s="546">
        <f t="shared" ca="1" si="124"/>
        <v>377930.82258222968</v>
      </c>
      <c r="R123" s="546">
        <f t="shared" ca="1" si="124"/>
        <v>579904.80413012381</v>
      </c>
      <c r="S123" s="546">
        <f t="shared" ca="1" si="124"/>
        <v>138316.98059378986</v>
      </c>
      <c r="T123" s="546">
        <f t="shared" ca="1" si="124"/>
        <v>-120883.60895402991</v>
      </c>
    </row>
    <row r="124" spans="1:20" outlineLevel="1" x14ac:dyDescent="0.45">
      <c r="B124" s="30"/>
      <c r="G124" s="136"/>
      <c r="H124" s="136"/>
      <c r="I124" s="136"/>
      <c r="J124" s="136"/>
      <c r="K124" s="136"/>
      <c r="L124" s="136"/>
      <c r="M124" s="136"/>
      <c r="N124" s="136"/>
      <c r="O124" s="136"/>
      <c r="P124" s="136"/>
      <c r="Q124" s="136"/>
      <c r="R124" s="136"/>
      <c r="S124" s="136"/>
      <c r="T124" s="136"/>
    </row>
    <row r="125" spans="1:20" outlineLevel="1" x14ac:dyDescent="0.45">
      <c r="B125" s="30" t="s">
        <v>245</v>
      </c>
      <c r="G125" s="136"/>
      <c r="H125" s="136"/>
      <c r="I125" s="136"/>
      <c r="J125" s="136"/>
      <c r="K125" s="136"/>
      <c r="L125" s="136"/>
      <c r="M125" s="136"/>
      <c r="N125" s="136"/>
      <c r="O125" s="136"/>
      <c r="P125" s="136"/>
      <c r="Q125" s="136"/>
      <c r="R125" s="136"/>
      <c r="S125" s="136"/>
      <c r="T125" s="136"/>
    </row>
    <row r="126" spans="1:20" outlineLevel="1" x14ac:dyDescent="0.45">
      <c r="B126" s="133" t="s">
        <v>246</v>
      </c>
      <c r="G126" s="545">
        <f>'Historical CFS'!C33</f>
        <v>-8217</v>
      </c>
      <c r="H126" s="545">
        <f>'Historical CFS'!D33</f>
        <v>-4712</v>
      </c>
      <c r="I126" s="545">
        <f>'Historical CFS'!E33</f>
        <v>-11021</v>
      </c>
      <c r="J126" s="545">
        <f>'Historical CFS'!F33</f>
        <v>-11543</v>
      </c>
      <c r="K126" s="545">
        <f>'Historical CFS'!G33</f>
        <v>-16998</v>
      </c>
      <c r="L126" s="546">
        <f>L260</f>
        <v>-23554.320633066669</v>
      </c>
      <c r="M126" s="546">
        <f t="shared" ref="M126:T126" si="125">M260</f>
        <v>-26086.215213822132</v>
      </c>
      <c r="N126" s="546">
        <f t="shared" si="125"/>
        <v>-29305.943636301443</v>
      </c>
      <c r="O126" s="546">
        <f t="shared" si="125"/>
        <v>-33326.501674104307</v>
      </c>
      <c r="P126" s="546">
        <f t="shared" si="125"/>
        <v>-38091.830321523696</v>
      </c>
      <c r="Q126" s="546">
        <f t="shared" si="125"/>
        <v>-43681.702262828534</v>
      </c>
      <c r="R126" s="546">
        <f t="shared" si="125"/>
        <v>-50427.698868520245</v>
      </c>
      <c r="S126" s="546">
        <f t="shared" si="125"/>
        <v>-18778.027838028152</v>
      </c>
      <c r="T126" s="546">
        <f t="shared" si="125"/>
        <v>-4776.2927950385174</v>
      </c>
    </row>
    <row r="127" spans="1:20" outlineLevel="1" x14ac:dyDescent="0.45">
      <c r="B127" s="133" t="s">
        <v>247</v>
      </c>
      <c r="G127" s="545">
        <f>'Historical CFS'!C34</f>
        <v>-95744</v>
      </c>
      <c r="H127" s="545">
        <f>'Historical CFS'!D34</f>
        <v>0</v>
      </c>
      <c r="I127" s="545">
        <f>'Historical CFS'!E34</f>
        <v>-202170</v>
      </c>
      <c r="J127" s="545">
        <f>'Historical CFS'!F34</f>
        <v>0</v>
      </c>
      <c r="K127" s="545">
        <f>'Historical CFS'!G34</f>
        <v>-176721</v>
      </c>
      <c r="L127" s="546">
        <v>0</v>
      </c>
      <c r="M127" s="546">
        <v>0</v>
      </c>
      <c r="N127" s="546">
        <v>0</v>
      </c>
      <c r="O127" s="546">
        <v>0</v>
      </c>
      <c r="P127" s="546">
        <v>0</v>
      </c>
      <c r="Q127" s="546">
        <v>0</v>
      </c>
      <c r="R127" s="546">
        <v>0</v>
      </c>
      <c r="S127" s="546">
        <v>0</v>
      </c>
      <c r="T127" s="546">
        <v>0</v>
      </c>
    </row>
    <row r="128" spans="1:20" outlineLevel="1" x14ac:dyDescent="0.45">
      <c r="B128" s="133" t="s">
        <v>248</v>
      </c>
      <c r="G128" s="545">
        <f>'Historical CFS'!C35</f>
        <v>-145850</v>
      </c>
      <c r="H128" s="545">
        <f>'Historical CFS'!D35</f>
        <v>-109966</v>
      </c>
      <c r="I128" s="545">
        <f>'Historical CFS'!E35</f>
        <v>-28694</v>
      </c>
      <c r="J128" s="545">
        <f>'Historical CFS'!F35</f>
        <v>-27681</v>
      </c>
      <c r="K128" s="545">
        <f>'Historical CFS'!G35</f>
        <v>-7824</v>
      </c>
      <c r="L128" s="546">
        <v>0</v>
      </c>
      <c r="M128" s="546">
        <v>0</v>
      </c>
      <c r="N128" s="546">
        <v>0</v>
      </c>
      <c r="O128" s="546">
        <v>0</v>
      </c>
      <c r="P128" s="546">
        <v>0</v>
      </c>
      <c r="Q128" s="546">
        <v>0</v>
      </c>
      <c r="R128" s="546">
        <v>0</v>
      </c>
      <c r="S128" s="546">
        <v>0</v>
      </c>
      <c r="T128" s="546">
        <v>0</v>
      </c>
    </row>
    <row r="129" spans="2:20" outlineLevel="1" x14ac:dyDescent="0.45">
      <c r="B129" s="133" t="s">
        <v>249</v>
      </c>
      <c r="G129" s="545">
        <f>'Historical CFS'!C36</f>
        <v>174583</v>
      </c>
      <c r="H129" s="545">
        <f>'Historical CFS'!D36</f>
        <v>148762</v>
      </c>
      <c r="I129" s="545">
        <f>'Historical CFS'!E36</f>
        <v>34155</v>
      </c>
      <c r="J129" s="545">
        <f>'Historical CFS'!F36</f>
        <v>27193</v>
      </c>
      <c r="K129" s="545">
        <f>'Historical CFS'!G36</f>
        <v>39664</v>
      </c>
      <c r="L129" s="546">
        <v>0</v>
      </c>
      <c r="M129" s="546">
        <v>0</v>
      </c>
      <c r="N129" s="546">
        <v>0</v>
      </c>
      <c r="O129" s="546">
        <v>0</v>
      </c>
      <c r="P129" s="546">
        <v>0</v>
      </c>
      <c r="Q129" s="546">
        <v>0</v>
      </c>
      <c r="R129" s="546">
        <v>0</v>
      </c>
      <c r="S129" s="546">
        <v>0</v>
      </c>
      <c r="T129" s="546">
        <v>0</v>
      </c>
    </row>
    <row r="130" spans="2:20" outlineLevel="1" x14ac:dyDescent="0.45">
      <c r="B130" s="133" t="s">
        <v>155</v>
      </c>
      <c r="G130" s="579" t="s">
        <v>108</v>
      </c>
      <c r="H130" s="579" t="s">
        <v>108</v>
      </c>
      <c r="I130" s="579" t="s">
        <v>108</v>
      </c>
      <c r="J130" s="579" t="s">
        <v>108</v>
      </c>
      <c r="K130" s="579" t="s">
        <v>108</v>
      </c>
      <c r="L130" s="546">
        <f>L363</f>
        <v>-29442.900791333337</v>
      </c>
      <c r="M130" s="546">
        <f t="shared" ref="M130:T130" si="126">M363</f>
        <v>-32607.769017277664</v>
      </c>
      <c r="N130" s="546">
        <f t="shared" si="126"/>
        <v>-36632.429545376806</v>
      </c>
      <c r="O130" s="546">
        <f t="shared" si="126"/>
        <v>-41658.127092630391</v>
      </c>
      <c r="P130" s="546">
        <f t="shared" si="126"/>
        <v>-47614.787901904616</v>
      </c>
      <c r="Q130" s="546">
        <f t="shared" si="126"/>
        <v>-54602.127828535675</v>
      </c>
      <c r="R130" s="546">
        <f t="shared" si="126"/>
        <v>-63034.623585650304</v>
      </c>
      <c r="S130" s="546">
        <f t="shared" si="126"/>
        <v>-23472.534797535191</v>
      </c>
      <c r="T130" s="546">
        <f t="shared" si="126"/>
        <v>-5970.3659937981474</v>
      </c>
    </row>
    <row r="131" spans="2:20" outlineLevel="1" x14ac:dyDescent="0.45">
      <c r="B131" s="133" t="s">
        <v>238</v>
      </c>
      <c r="G131" s="553">
        <f>'Historical CFS'!C37</f>
        <v>-95</v>
      </c>
      <c r="H131" s="553">
        <f>'Historical CFS'!D37</f>
        <v>178</v>
      </c>
      <c r="I131" s="553">
        <f>'Historical CFS'!E37</f>
        <v>0</v>
      </c>
      <c r="J131" s="553">
        <f>'Historical CFS'!F37</f>
        <v>0</v>
      </c>
      <c r="K131" s="553">
        <f>'Historical CFS'!G37</f>
        <v>0</v>
      </c>
      <c r="L131" s="552">
        <v>0</v>
      </c>
      <c r="M131" s="552">
        <v>0</v>
      </c>
      <c r="N131" s="552">
        <v>0</v>
      </c>
      <c r="O131" s="552">
        <v>0</v>
      </c>
      <c r="P131" s="552">
        <v>0</v>
      </c>
      <c r="Q131" s="552">
        <v>0</v>
      </c>
      <c r="R131" s="552">
        <v>0</v>
      </c>
      <c r="S131" s="552">
        <v>0</v>
      </c>
      <c r="T131" s="552">
        <v>0</v>
      </c>
    </row>
    <row r="132" spans="2:20" outlineLevel="1" x14ac:dyDescent="0.45">
      <c r="B132" s="30" t="s">
        <v>250</v>
      </c>
      <c r="G132" s="546">
        <f>SUM(G126:G131)</f>
        <v>-75323</v>
      </c>
      <c r="H132" s="546">
        <f t="shared" ref="H132:T132" si="127">SUM(H126:H131)</f>
        <v>34262</v>
      </c>
      <c r="I132" s="546">
        <f t="shared" si="127"/>
        <v>-207730</v>
      </c>
      <c r="J132" s="546">
        <f t="shared" si="127"/>
        <v>-12031</v>
      </c>
      <c r="K132" s="546">
        <f t="shared" si="127"/>
        <v>-161879</v>
      </c>
      <c r="L132" s="546">
        <f t="shared" si="127"/>
        <v>-52997.221424400006</v>
      </c>
      <c r="M132" s="546">
        <f t="shared" si="127"/>
        <v>-58693.984231099792</v>
      </c>
      <c r="N132" s="546">
        <f t="shared" si="127"/>
        <v>-65938.373181678253</v>
      </c>
      <c r="O132" s="546">
        <f t="shared" si="127"/>
        <v>-74984.628766734706</v>
      </c>
      <c r="P132" s="546">
        <f t="shared" si="127"/>
        <v>-85706.618223428319</v>
      </c>
      <c r="Q132" s="546">
        <f t="shared" si="127"/>
        <v>-98283.830091364216</v>
      </c>
      <c r="R132" s="546">
        <f t="shared" si="127"/>
        <v>-113462.32245417056</v>
      </c>
      <c r="S132" s="546">
        <f t="shared" si="127"/>
        <v>-42250.562635563343</v>
      </c>
      <c r="T132" s="546">
        <f t="shared" si="127"/>
        <v>-10746.658788836665</v>
      </c>
    </row>
    <row r="133" spans="2:20" outlineLevel="1" x14ac:dyDescent="0.45">
      <c r="B133" s="30"/>
      <c r="G133" s="136"/>
      <c r="H133" s="136"/>
      <c r="I133" s="136"/>
      <c r="J133" s="136"/>
      <c r="K133" s="136"/>
      <c r="L133" s="136"/>
      <c r="M133" s="136"/>
      <c r="N133" s="136"/>
      <c r="O133" s="136"/>
      <c r="P133" s="136"/>
      <c r="Q133" s="136"/>
      <c r="R133" s="136"/>
      <c r="S133" s="136"/>
      <c r="T133" s="136"/>
    </row>
    <row r="134" spans="2:20" outlineLevel="1" x14ac:dyDescent="0.45">
      <c r="B134" s="30" t="s">
        <v>251</v>
      </c>
      <c r="G134" s="136"/>
      <c r="H134" s="136"/>
      <c r="I134" s="136"/>
      <c r="J134" s="136"/>
      <c r="K134" s="136"/>
      <c r="L134" s="136"/>
      <c r="M134" s="136"/>
      <c r="N134" s="136"/>
      <c r="O134" s="136"/>
      <c r="P134" s="136"/>
      <c r="Q134" s="136"/>
      <c r="R134" s="136"/>
      <c r="S134" s="136"/>
      <c r="T134" s="136"/>
    </row>
    <row r="135" spans="2:20" outlineLevel="1" x14ac:dyDescent="0.45">
      <c r="B135" s="133" t="s">
        <v>252</v>
      </c>
      <c r="G135" s="345">
        <v>0</v>
      </c>
      <c r="H135" s="345">
        <v>0</v>
      </c>
      <c r="I135" s="345">
        <v>0</v>
      </c>
      <c r="J135" s="345">
        <v>0</v>
      </c>
      <c r="K135" s="345">
        <v>0</v>
      </c>
      <c r="L135" s="545">
        <f>-'Transaction Details'!$C$28</f>
        <v>-7000202.0277200006</v>
      </c>
      <c r="M135" s="345">
        <v>0</v>
      </c>
      <c r="N135" s="345">
        <v>0</v>
      </c>
      <c r="O135" s="345">
        <v>0</v>
      </c>
      <c r="P135" s="345">
        <v>0</v>
      </c>
      <c r="Q135" s="345">
        <v>0</v>
      </c>
      <c r="R135" s="345">
        <v>0</v>
      </c>
      <c r="S135" s="345">
        <v>0</v>
      </c>
      <c r="T135" s="546">
        <f>L135</f>
        <v>-7000202.0277200006</v>
      </c>
    </row>
    <row r="136" spans="2:20" outlineLevel="1" x14ac:dyDescent="0.45">
      <c r="B136" s="133" t="s">
        <v>253</v>
      </c>
      <c r="G136" s="545">
        <f>'Historical CFS'!C40</f>
        <v>349100</v>
      </c>
      <c r="H136" s="545">
        <f>'Historical CFS'!D40</f>
        <v>197325</v>
      </c>
      <c r="I136" s="545">
        <f>'Historical CFS'!E40</f>
        <v>0</v>
      </c>
      <c r="J136" s="545">
        <f>'Historical CFS'!F40</f>
        <v>0</v>
      </c>
      <c r="K136" s="545">
        <f>'Historical CFS'!G40</f>
        <v>99444</v>
      </c>
      <c r="L136" s="189">
        <f t="shared" ref="L136:T137" si="128">L545</f>
        <v>0</v>
      </c>
      <c r="M136" s="189">
        <f t="shared" si="128"/>
        <v>0</v>
      </c>
      <c r="N136" s="189">
        <f t="shared" si="128"/>
        <v>0</v>
      </c>
      <c r="O136" s="189">
        <f t="shared" si="128"/>
        <v>0</v>
      </c>
      <c r="P136" s="189">
        <f t="shared" si="128"/>
        <v>0</v>
      </c>
      <c r="Q136" s="189">
        <f t="shared" si="128"/>
        <v>0</v>
      </c>
      <c r="R136" s="189">
        <f t="shared" si="128"/>
        <v>0</v>
      </c>
      <c r="S136" s="189">
        <f t="shared" si="128"/>
        <v>0</v>
      </c>
      <c r="T136" s="189">
        <f t="shared" si="128"/>
        <v>0</v>
      </c>
    </row>
    <row r="137" spans="2:20" outlineLevel="1" x14ac:dyDescent="0.45">
      <c r="B137" s="133" t="s">
        <v>254</v>
      </c>
      <c r="G137" s="545">
        <f>'Historical CFS'!C41</f>
        <v>-556</v>
      </c>
      <c r="H137" s="545">
        <f>'Historical CFS'!D41</f>
        <v>-6563</v>
      </c>
      <c r="I137" s="545">
        <f>'Historical CFS'!E41</f>
        <v>-13586</v>
      </c>
      <c r="J137" s="545">
        <f>'Historical CFS'!F41</f>
        <v>-13586</v>
      </c>
      <c r="K137" s="545">
        <f>'Historical CFS'!G41</f>
        <v>-44867</v>
      </c>
      <c r="L137" s="546">
        <f>L546</f>
        <v>-568793</v>
      </c>
      <c r="M137" s="189">
        <f t="shared" si="128"/>
        <v>0</v>
      </c>
      <c r="N137" s="189">
        <f t="shared" si="128"/>
        <v>0</v>
      </c>
      <c r="O137" s="189">
        <f t="shared" si="128"/>
        <v>0</v>
      </c>
      <c r="P137" s="189">
        <f t="shared" si="128"/>
        <v>0</v>
      </c>
      <c r="Q137" s="189">
        <f t="shared" si="128"/>
        <v>0</v>
      </c>
      <c r="R137" s="189">
        <f t="shared" si="128"/>
        <v>0</v>
      </c>
      <c r="S137" s="546">
        <f>S546</f>
        <v>-23807</v>
      </c>
      <c r="T137" s="546">
        <f t="shared" si="128"/>
        <v>-544986</v>
      </c>
    </row>
    <row r="138" spans="2:20" outlineLevel="1" x14ac:dyDescent="0.45">
      <c r="B138" s="133" t="s">
        <v>255</v>
      </c>
      <c r="G138" s="545">
        <f>'Historical CFS'!C42</f>
        <v>0</v>
      </c>
      <c r="H138" s="545">
        <f>'Historical CFS'!D42</f>
        <v>0</v>
      </c>
      <c r="I138" s="545">
        <f>'Historical CFS'!E42</f>
        <v>304409</v>
      </c>
      <c r="J138" s="545">
        <f>'Historical CFS'!F42</f>
        <v>0</v>
      </c>
      <c r="K138" s="545">
        <f>'Historical CFS'!G42</f>
        <v>0</v>
      </c>
      <c r="L138" s="345">
        <v>0</v>
      </c>
      <c r="M138" s="345">
        <v>0</v>
      </c>
      <c r="N138" s="345">
        <v>0</v>
      </c>
      <c r="O138" s="345">
        <v>0</v>
      </c>
      <c r="P138" s="345">
        <v>0</v>
      </c>
      <c r="Q138" s="345">
        <v>0</v>
      </c>
      <c r="R138" s="345">
        <v>0</v>
      </c>
      <c r="S138" s="345">
        <v>0</v>
      </c>
      <c r="T138" s="345">
        <v>0</v>
      </c>
    </row>
    <row r="139" spans="2:20" outlineLevel="1" x14ac:dyDescent="0.45">
      <c r="B139" s="133" t="s">
        <v>256</v>
      </c>
      <c r="G139" s="545">
        <f>'Historical CFS'!C43</f>
        <v>4370</v>
      </c>
      <c r="H139" s="545">
        <f>'Historical CFS'!D43</f>
        <v>1435</v>
      </c>
      <c r="I139" s="545">
        <f>'Historical CFS'!E43</f>
        <v>4760</v>
      </c>
      <c r="J139" s="545">
        <f>'Historical CFS'!F43</f>
        <v>2211</v>
      </c>
      <c r="K139" s="545">
        <f>'Historical CFS'!G43</f>
        <v>228</v>
      </c>
      <c r="L139" s="345">
        <v>0</v>
      </c>
      <c r="M139" s="345">
        <v>0</v>
      </c>
      <c r="N139" s="345">
        <v>0</v>
      </c>
      <c r="O139" s="345">
        <v>0</v>
      </c>
      <c r="P139" s="345">
        <v>0</v>
      </c>
      <c r="Q139" s="345">
        <v>0</v>
      </c>
      <c r="R139" s="345">
        <v>0</v>
      </c>
      <c r="S139" s="345">
        <v>0</v>
      </c>
      <c r="T139" s="345">
        <v>0</v>
      </c>
    </row>
    <row r="140" spans="2:20" outlineLevel="1" x14ac:dyDescent="0.45">
      <c r="B140" s="133" t="s">
        <v>257</v>
      </c>
      <c r="G140" s="545">
        <f>'Historical CFS'!C44</f>
        <v>-44463</v>
      </c>
      <c r="H140" s="545">
        <f>'Historical CFS'!D44</f>
        <v>0</v>
      </c>
      <c r="I140" s="545">
        <f>'Historical CFS'!E44</f>
        <v>0</v>
      </c>
      <c r="J140" s="545">
        <f>'Historical CFS'!F44</f>
        <v>0</v>
      </c>
      <c r="K140" s="545">
        <f>'Historical CFS'!G44</f>
        <v>0</v>
      </c>
      <c r="L140" s="345">
        <v>0</v>
      </c>
      <c r="M140" s="345">
        <v>0</v>
      </c>
      <c r="N140" s="345">
        <v>0</v>
      </c>
      <c r="O140" s="345">
        <v>0</v>
      </c>
      <c r="P140" s="345">
        <v>0</v>
      </c>
      <c r="Q140" s="345">
        <v>0</v>
      </c>
      <c r="R140" s="345">
        <v>0</v>
      </c>
      <c r="S140" s="345">
        <v>0</v>
      </c>
      <c r="T140" s="345">
        <v>0</v>
      </c>
    </row>
    <row r="141" spans="2:20" outlineLevel="1" x14ac:dyDescent="0.45">
      <c r="B141" s="133" t="s">
        <v>258</v>
      </c>
      <c r="G141" s="545">
        <f>'Historical CFS'!C45</f>
        <v>-3340</v>
      </c>
      <c r="H141" s="545">
        <f>'Historical CFS'!D45</f>
        <v>-20161</v>
      </c>
      <c r="I141" s="545">
        <f>'Historical CFS'!E45</f>
        <v>-34503</v>
      </c>
      <c r="J141" s="545">
        <f>'Historical CFS'!F45</f>
        <v>-21268</v>
      </c>
      <c r="K141" s="545">
        <f>'Historical CFS'!G45</f>
        <v>-36366</v>
      </c>
      <c r="L141" s="345">
        <v>0</v>
      </c>
      <c r="M141" s="345">
        <v>0</v>
      </c>
      <c r="N141" s="345">
        <v>0</v>
      </c>
      <c r="O141" s="345">
        <v>0</v>
      </c>
      <c r="P141" s="345">
        <v>0</v>
      </c>
      <c r="Q141" s="345">
        <v>0</v>
      </c>
      <c r="R141" s="345">
        <v>0</v>
      </c>
      <c r="S141" s="345">
        <v>0</v>
      </c>
      <c r="T141" s="345">
        <v>0</v>
      </c>
    </row>
    <row r="142" spans="2:20" outlineLevel="1" x14ac:dyDescent="0.45">
      <c r="B142" s="133" t="s">
        <v>259</v>
      </c>
      <c r="G142" s="545">
        <f>'Historical CFS'!C46</f>
        <v>-350000</v>
      </c>
      <c r="H142" s="545">
        <f>'Historical CFS'!D46</f>
        <v>0</v>
      </c>
      <c r="I142" s="545">
        <f>'Historical CFS'!E46</f>
        <v>0</v>
      </c>
      <c r="J142" s="545">
        <f>'Historical CFS'!F46</f>
        <v>0</v>
      </c>
      <c r="K142" s="545">
        <f>'Historical CFS'!G46</f>
        <v>0</v>
      </c>
      <c r="L142" s="345">
        <v>0</v>
      </c>
      <c r="M142" s="345">
        <v>0</v>
      </c>
      <c r="N142" s="345">
        <v>0</v>
      </c>
      <c r="O142" s="345">
        <v>0</v>
      </c>
      <c r="P142" s="345">
        <v>0</v>
      </c>
      <c r="Q142" s="345">
        <v>0</v>
      </c>
      <c r="R142" s="345">
        <v>0</v>
      </c>
      <c r="S142" s="345">
        <v>0</v>
      </c>
      <c r="T142" s="345">
        <v>0</v>
      </c>
    </row>
    <row r="143" spans="2:20" outlineLevel="1" x14ac:dyDescent="0.45">
      <c r="B143" s="133" t="s">
        <v>1436</v>
      </c>
      <c r="G143" s="545">
        <f>'Historical CFS'!C47</f>
        <v>0</v>
      </c>
      <c r="H143" s="545">
        <f>'Historical CFS'!D47</f>
        <v>0</v>
      </c>
      <c r="I143" s="545">
        <f>'Historical CFS'!E47</f>
        <v>0</v>
      </c>
      <c r="J143" s="545">
        <f>'Historical CFS'!F47</f>
        <v>-120193</v>
      </c>
      <c r="K143" s="545">
        <f>'Historical CFS'!G47</f>
        <v>-25989</v>
      </c>
      <c r="L143" s="345">
        <v>0</v>
      </c>
      <c r="M143" s="345">
        <v>0</v>
      </c>
      <c r="N143" s="345">
        <v>0</v>
      </c>
      <c r="O143" s="345">
        <v>0</v>
      </c>
      <c r="P143" s="345">
        <v>0</v>
      </c>
      <c r="Q143" s="345">
        <v>0</v>
      </c>
      <c r="R143" s="345">
        <v>0</v>
      </c>
      <c r="S143" s="345">
        <v>0</v>
      </c>
      <c r="T143" s="345">
        <v>0</v>
      </c>
    </row>
    <row r="144" spans="2:20" outlineLevel="1" x14ac:dyDescent="0.45">
      <c r="B144" s="133" t="s">
        <v>261</v>
      </c>
      <c r="G144" s="545">
        <f>'Historical CFS'!C48</f>
        <v>0</v>
      </c>
      <c r="H144" s="545">
        <f>'Historical CFS'!D48</f>
        <v>-327745</v>
      </c>
      <c r="I144" s="545">
        <f>'Historical CFS'!E48</f>
        <v>-367</v>
      </c>
      <c r="J144" s="545">
        <f>'Historical CFS'!F48</f>
        <v>0</v>
      </c>
      <c r="K144" s="545">
        <f>'Historical CFS'!G48</f>
        <v>0</v>
      </c>
      <c r="L144" s="345">
        <v>0</v>
      </c>
      <c r="M144" s="345">
        <v>0</v>
      </c>
      <c r="N144" s="345">
        <v>0</v>
      </c>
      <c r="O144" s="345">
        <v>0</v>
      </c>
      <c r="P144" s="345">
        <v>0</v>
      </c>
      <c r="Q144" s="345">
        <v>0</v>
      </c>
      <c r="R144" s="345">
        <v>0</v>
      </c>
      <c r="S144" s="345">
        <v>0</v>
      </c>
      <c r="T144" s="345">
        <v>0</v>
      </c>
    </row>
    <row r="145" spans="1:20" outlineLevel="1" x14ac:dyDescent="0.45">
      <c r="B145" s="133" t="s">
        <v>262</v>
      </c>
      <c r="G145" s="545">
        <f>'Historical CFS'!C49</f>
        <v>-938</v>
      </c>
      <c r="H145" s="545">
        <f>'Historical CFS'!D49</f>
        <v>0</v>
      </c>
      <c r="I145" s="545">
        <f>'Historical CFS'!E49</f>
        <v>0</v>
      </c>
      <c r="J145" s="545">
        <f>'Historical CFS'!F49</f>
        <v>0</v>
      </c>
      <c r="K145" s="545">
        <f>'Historical CFS'!G49</f>
        <v>-637</v>
      </c>
      <c r="L145" s="345">
        <v>0</v>
      </c>
      <c r="M145" s="345">
        <v>0</v>
      </c>
      <c r="N145" s="345">
        <v>0</v>
      </c>
      <c r="O145" s="345">
        <v>0</v>
      </c>
      <c r="P145" s="345">
        <v>0</v>
      </c>
      <c r="Q145" s="345">
        <v>0</v>
      </c>
      <c r="R145" s="345">
        <v>0</v>
      </c>
      <c r="S145" s="345">
        <v>0</v>
      </c>
      <c r="T145" s="345">
        <v>0</v>
      </c>
    </row>
    <row r="146" spans="1:20" outlineLevel="1" x14ac:dyDescent="0.45">
      <c r="B146" s="133" t="s">
        <v>263</v>
      </c>
      <c r="G146" s="345">
        <v>0</v>
      </c>
      <c r="H146" s="345">
        <v>0</v>
      </c>
      <c r="I146" s="345">
        <v>0</v>
      </c>
      <c r="J146" s="345">
        <v>0</v>
      </c>
      <c r="K146" s="345">
        <v>0</v>
      </c>
      <c r="L146" s="545">
        <f ca="1">'Transaction Details'!$H$10</f>
        <v>4709210.2758593913</v>
      </c>
      <c r="M146" s="345">
        <v>0</v>
      </c>
      <c r="N146" s="345">
        <v>0</v>
      </c>
      <c r="O146" s="345">
        <v>0</v>
      </c>
      <c r="P146" s="345">
        <v>0</v>
      </c>
      <c r="Q146" s="345">
        <v>0</v>
      </c>
      <c r="R146" s="345">
        <v>0</v>
      </c>
      <c r="S146" s="345">
        <v>0</v>
      </c>
      <c r="T146" s="134">
        <f ca="1">L146</f>
        <v>4709210.2758593913</v>
      </c>
    </row>
    <row r="147" spans="1:20" outlineLevel="1" x14ac:dyDescent="0.45">
      <c r="B147" s="133" t="s">
        <v>264</v>
      </c>
      <c r="G147" s="345">
        <v>0</v>
      </c>
      <c r="H147" s="345">
        <v>0</v>
      </c>
      <c r="I147" s="345">
        <v>0</v>
      </c>
      <c r="J147" s="345">
        <v>0</v>
      </c>
      <c r="K147" s="345">
        <v>0</v>
      </c>
      <c r="L147" s="546">
        <f>L547</f>
        <v>50000</v>
      </c>
      <c r="M147" s="546">
        <f t="shared" ref="M147:T147" ca="1" si="129">M547</f>
        <v>114273.98402056846</v>
      </c>
      <c r="N147" s="546">
        <f t="shared" ca="1" si="129"/>
        <v>39497.176509140801</v>
      </c>
      <c r="O147" s="546">
        <f t="shared" ca="1" si="129"/>
        <v>-28429.579630085354</v>
      </c>
      <c r="P147" s="546">
        <f t="shared" ca="1" si="129"/>
        <v>-135115.41795237618</v>
      </c>
      <c r="Q147" s="546">
        <f t="shared" ca="1" si="129"/>
        <v>-40226.162947247707</v>
      </c>
      <c r="R147" s="546">
        <f t="shared" ca="1" si="129"/>
        <v>0</v>
      </c>
      <c r="S147" s="546">
        <f t="shared" si="129"/>
        <v>0</v>
      </c>
      <c r="T147" s="546">
        <f t="shared" si="129"/>
        <v>50000</v>
      </c>
    </row>
    <row r="148" spans="1:20" outlineLevel="1" x14ac:dyDescent="0.45">
      <c r="B148" s="133" t="s">
        <v>265</v>
      </c>
      <c r="G148" s="345">
        <v>0</v>
      </c>
      <c r="H148" s="345">
        <v>0</v>
      </c>
      <c r="I148" s="345">
        <v>0</v>
      </c>
      <c r="J148" s="345">
        <v>0</v>
      </c>
      <c r="K148" s="345">
        <v>0</v>
      </c>
      <c r="L148" s="546">
        <f t="shared" ref="L148:T149" ca="1" si="130">L548</f>
        <v>2300000.02</v>
      </c>
      <c r="M148" s="546">
        <f t="shared" ca="1" si="130"/>
        <v>-17250</v>
      </c>
      <c r="N148" s="546">
        <f t="shared" ca="1" si="130"/>
        <v>-23000</v>
      </c>
      <c r="O148" s="546">
        <f t="shared" ca="1" si="130"/>
        <v>-23000</v>
      </c>
      <c r="P148" s="546">
        <f t="shared" ca="1" si="130"/>
        <v>-23000</v>
      </c>
      <c r="Q148" s="546">
        <f t="shared" ca="1" si="130"/>
        <v>-116343.54389393027</v>
      </c>
      <c r="R148" s="546">
        <f t="shared" ca="1" si="130"/>
        <v>-286490.08202237292</v>
      </c>
      <c r="S148" s="546">
        <f t="shared" si="130"/>
        <v>0</v>
      </c>
      <c r="T148" s="546">
        <f t="shared" ca="1" si="130"/>
        <v>2300000</v>
      </c>
    </row>
    <row r="149" spans="1:20" outlineLevel="1" x14ac:dyDescent="0.45">
      <c r="B149" s="133" t="s">
        <v>266</v>
      </c>
      <c r="G149" s="345">
        <v>0</v>
      </c>
      <c r="H149" s="345">
        <v>0</v>
      </c>
      <c r="I149" s="345">
        <v>0</v>
      </c>
      <c r="J149" s="345">
        <v>0</v>
      </c>
      <c r="K149" s="345">
        <v>0</v>
      </c>
      <c r="L149" s="546">
        <f t="shared" ca="1" si="130"/>
        <v>300000.02</v>
      </c>
      <c r="M149" s="546">
        <f t="shared" ca="1" si="130"/>
        <v>-2250</v>
      </c>
      <c r="N149" s="546">
        <f t="shared" ca="1" si="130"/>
        <v>-3000</v>
      </c>
      <c r="O149" s="546">
        <f t="shared" ca="1" si="130"/>
        <v>-3000</v>
      </c>
      <c r="P149" s="546">
        <f t="shared" ca="1" si="130"/>
        <v>-3000</v>
      </c>
      <c r="Q149" s="546">
        <f t="shared" ca="1" si="130"/>
        <v>-3000</v>
      </c>
      <c r="R149" s="546">
        <f t="shared" ca="1" si="130"/>
        <v>-3000</v>
      </c>
      <c r="S149" s="546">
        <f t="shared" si="130"/>
        <v>0</v>
      </c>
      <c r="T149" s="546">
        <f t="shared" ca="1" si="130"/>
        <v>300000</v>
      </c>
    </row>
    <row r="150" spans="1:20" s="197" customFormat="1" outlineLevel="1" x14ac:dyDescent="0.45">
      <c r="A150" s="110"/>
      <c r="B150" s="133" t="s">
        <v>267</v>
      </c>
      <c r="G150" s="553">
        <f>'Historical CFS'!C50</f>
        <v>0</v>
      </c>
      <c r="H150" s="553">
        <f>'Historical CFS'!D50</f>
        <v>-15000</v>
      </c>
      <c r="I150" s="553">
        <f>'Historical CFS'!E50</f>
        <v>0</v>
      </c>
      <c r="J150" s="553">
        <f>'Historical CFS'!F50</f>
        <v>0</v>
      </c>
      <c r="K150" s="553">
        <f>'Historical CFS'!G50</f>
        <v>0</v>
      </c>
      <c r="L150" s="552">
        <v>0</v>
      </c>
      <c r="M150" s="552">
        <v>0</v>
      </c>
      <c r="N150" s="552">
        <v>0</v>
      </c>
      <c r="O150" s="552">
        <v>0</v>
      </c>
      <c r="P150" s="552">
        <v>0</v>
      </c>
      <c r="Q150" s="552">
        <v>0</v>
      </c>
      <c r="R150" s="552">
        <v>0</v>
      </c>
      <c r="S150" s="552">
        <v>0</v>
      </c>
      <c r="T150" s="552">
        <v>0</v>
      </c>
    </row>
    <row r="151" spans="1:20" outlineLevel="1" x14ac:dyDescent="0.45">
      <c r="A151" s="107" t="s">
        <v>18</v>
      </c>
      <c r="B151" s="30" t="s">
        <v>268</v>
      </c>
      <c r="G151" s="546">
        <f t="shared" ref="G151:T151" si="131">SUM(G135:G150)</f>
        <v>-45827</v>
      </c>
      <c r="H151" s="546">
        <f t="shared" si="131"/>
        <v>-170709</v>
      </c>
      <c r="I151" s="546">
        <f t="shared" si="131"/>
        <v>260713</v>
      </c>
      <c r="J151" s="546">
        <f t="shared" si="131"/>
        <v>-152836</v>
      </c>
      <c r="K151" s="546">
        <f t="shared" si="131"/>
        <v>-8187</v>
      </c>
      <c r="L151" s="546">
        <f t="shared" ca="1" si="131"/>
        <v>-209784.71186060924</v>
      </c>
      <c r="M151" s="546">
        <f t="shared" ca="1" si="131"/>
        <v>94773.98402056846</v>
      </c>
      <c r="N151" s="546">
        <f t="shared" ca="1" si="131"/>
        <v>13497.176509140801</v>
      </c>
      <c r="O151" s="546">
        <f t="shared" ca="1" si="131"/>
        <v>-54429.579630085354</v>
      </c>
      <c r="P151" s="546">
        <f t="shared" ca="1" si="131"/>
        <v>-161115.41795237618</v>
      </c>
      <c r="Q151" s="546">
        <f t="shared" ca="1" si="131"/>
        <v>-159569.70684117798</v>
      </c>
      <c r="R151" s="546">
        <f t="shared" ca="1" si="131"/>
        <v>-289490.08202237292</v>
      </c>
      <c r="S151" s="546">
        <f t="shared" si="131"/>
        <v>-23807</v>
      </c>
      <c r="T151" s="546">
        <f t="shared" ca="1" si="131"/>
        <v>-185977.75186060928</v>
      </c>
    </row>
    <row r="152" spans="1:20" outlineLevel="1" x14ac:dyDescent="0.45">
      <c r="B152" s="30"/>
      <c r="G152" s="136"/>
      <c r="H152" s="136"/>
      <c r="I152" s="136"/>
      <c r="J152" s="136"/>
      <c r="K152" s="136"/>
      <c r="L152" s="136"/>
      <c r="M152" s="136"/>
      <c r="N152" s="136"/>
      <c r="O152" s="136"/>
      <c r="P152" s="136"/>
      <c r="Q152" s="136"/>
      <c r="R152" s="136"/>
      <c r="S152" s="136"/>
      <c r="T152" s="136"/>
    </row>
    <row r="153" spans="1:20" outlineLevel="1" x14ac:dyDescent="0.45">
      <c r="B153" s="30" t="s">
        <v>269</v>
      </c>
      <c r="G153" s="136"/>
      <c r="H153" s="136"/>
      <c r="I153" s="136"/>
      <c r="J153" s="136"/>
      <c r="K153" s="136"/>
      <c r="L153" s="136"/>
      <c r="M153" s="136"/>
      <c r="N153" s="136"/>
      <c r="O153" s="136"/>
      <c r="P153" s="136"/>
      <c r="Q153" s="136"/>
      <c r="R153" s="136"/>
      <c r="S153" s="136"/>
      <c r="T153" s="136"/>
    </row>
    <row r="154" spans="1:20" outlineLevel="1" x14ac:dyDescent="0.45">
      <c r="B154" s="25" t="s">
        <v>270</v>
      </c>
      <c r="G154" s="553">
        <f>'Historical CFS'!C53</f>
        <v>-171</v>
      </c>
      <c r="H154" s="553">
        <f>'Historical CFS'!D53</f>
        <v>659</v>
      </c>
      <c r="I154" s="553">
        <f>'Historical CFS'!E53</f>
        <v>-351</v>
      </c>
      <c r="J154" s="553">
        <f>'Historical CFS'!F53</f>
        <v>-412</v>
      </c>
      <c r="K154" s="553">
        <f>'Historical CFS'!G53</f>
        <v>614</v>
      </c>
      <c r="L154" s="555">
        <v>0</v>
      </c>
      <c r="M154" s="555">
        <v>0</v>
      </c>
      <c r="N154" s="555">
        <v>0</v>
      </c>
      <c r="O154" s="555">
        <v>0</v>
      </c>
      <c r="P154" s="555">
        <v>0</v>
      </c>
      <c r="Q154" s="555">
        <v>0</v>
      </c>
      <c r="R154" s="555">
        <v>0</v>
      </c>
      <c r="S154" s="555">
        <v>0</v>
      </c>
      <c r="T154" s="555">
        <v>0</v>
      </c>
    </row>
    <row r="155" spans="1:20" outlineLevel="1" x14ac:dyDescent="0.45">
      <c r="B155" s="25" t="s">
        <v>271</v>
      </c>
      <c r="G155" s="546">
        <f>G123+G132+G151+G154</f>
        <v>-18988</v>
      </c>
      <c r="H155" s="546">
        <f>H123+H132+H151+H154</f>
        <v>14242</v>
      </c>
      <c r="I155" s="546">
        <f>I123+I132+I151+I154</f>
        <v>175789</v>
      </c>
      <c r="J155" s="546">
        <f>J123+J132+J151+J154</f>
        <v>-1060</v>
      </c>
      <c r="K155" s="546">
        <f>K123+K132+K151+K154</f>
        <v>61665</v>
      </c>
      <c r="L155" s="546">
        <f t="shared" ref="L155:T155" ca="1" si="132">L123+L132+L151</f>
        <v>-245348.5616452492</v>
      </c>
      <c r="M155" s="546">
        <f t="shared" ca="1" si="132"/>
        <v>26424.561645249196</v>
      </c>
      <c r="N155" s="546">
        <f t="shared" ca="1" si="132"/>
        <v>0</v>
      </c>
      <c r="O155" s="546">
        <f t="shared" ca="1" si="132"/>
        <v>0</v>
      </c>
      <c r="P155" s="546">
        <f t="shared" ca="1" si="132"/>
        <v>0</v>
      </c>
      <c r="Q155" s="546">
        <f t="shared" ca="1" si="132"/>
        <v>120077.28564968749</v>
      </c>
      <c r="R155" s="546">
        <f t="shared" ca="1" si="132"/>
        <v>176952.39965358033</v>
      </c>
      <c r="S155" s="546">
        <f t="shared" ca="1" si="132"/>
        <v>72259.417958226521</v>
      </c>
      <c r="T155" s="546">
        <f t="shared" ca="1" si="132"/>
        <v>-317608.01960347587</v>
      </c>
    </row>
    <row r="156" spans="1:20" outlineLevel="1" x14ac:dyDescent="0.45">
      <c r="G156" s="136"/>
      <c r="H156" s="136"/>
      <c r="I156" s="136"/>
      <c r="J156" s="136"/>
      <c r="K156" s="136"/>
      <c r="L156" s="136"/>
      <c r="M156" s="136"/>
      <c r="N156" s="136"/>
      <c r="O156" s="136"/>
      <c r="P156" s="136"/>
      <c r="Q156" s="136"/>
      <c r="R156" s="136"/>
      <c r="S156" s="136"/>
      <c r="T156" s="136"/>
    </row>
    <row r="157" spans="1:20" outlineLevel="1" x14ac:dyDescent="0.45">
      <c r="B157" s="110" t="s">
        <v>272</v>
      </c>
      <c r="G157" s="354"/>
      <c r="H157" s="354"/>
      <c r="I157" s="354"/>
      <c r="J157" s="354"/>
      <c r="K157" s="354"/>
      <c r="L157" s="546">
        <f>K159</f>
        <v>257702</v>
      </c>
      <c r="M157" s="546">
        <f t="shared" ref="M157:R157" ca="1" si="133">L159</f>
        <v>12353.438354750804</v>
      </c>
      <c r="N157" s="546">
        <f t="shared" ca="1" si="133"/>
        <v>38778</v>
      </c>
      <c r="O157" s="546">
        <f t="shared" ca="1" si="133"/>
        <v>38778</v>
      </c>
      <c r="P157" s="546">
        <f t="shared" ca="1" si="133"/>
        <v>38778</v>
      </c>
      <c r="Q157" s="546">
        <f t="shared" ca="1" si="133"/>
        <v>38778</v>
      </c>
      <c r="R157" s="546">
        <f t="shared" ca="1" si="133"/>
        <v>158855.28564968749</v>
      </c>
      <c r="S157" s="546">
        <f>K159</f>
        <v>257702</v>
      </c>
      <c r="T157" s="546">
        <f ca="1">S159</f>
        <v>329961.41795822652</v>
      </c>
    </row>
    <row r="158" spans="1:20" outlineLevel="1" x14ac:dyDescent="0.45">
      <c r="B158" s="110" t="s">
        <v>273</v>
      </c>
      <c r="G158" s="354"/>
      <c r="H158" s="354"/>
      <c r="I158" s="354"/>
      <c r="J158" s="354"/>
      <c r="K158" s="354"/>
      <c r="L158" s="552">
        <f ca="1">L155</f>
        <v>-245348.5616452492</v>
      </c>
      <c r="M158" s="552">
        <f t="shared" ref="M158:T158" ca="1" si="134">M155</f>
        <v>26424.561645249196</v>
      </c>
      <c r="N158" s="552">
        <f t="shared" ca="1" si="134"/>
        <v>0</v>
      </c>
      <c r="O158" s="552">
        <f t="shared" ca="1" si="134"/>
        <v>0</v>
      </c>
      <c r="P158" s="552">
        <f t="shared" ca="1" si="134"/>
        <v>0</v>
      </c>
      <c r="Q158" s="552">
        <f t="shared" ca="1" si="134"/>
        <v>120077.28564968749</v>
      </c>
      <c r="R158" s="552">
        <f t="shared" ca="1" si="134"/>
        <v>176952.39965358033</v>
      </c>
      <c r="S158" s="552">
        <f ca="1">S155</f>
        <v>72259.417958226521</v>
      </c>
      <c r="T158" s="552">
        <f t="shared" ca="1" si="134"/>
        <v>-317608.01960347587</v>
      </c>
    </row>
    <row r="159" spans="1:20" outlineLevel="1" x14ac:dyDescent="0.45">
      <c r="B159" s="114" t="s">
        <v>274</v>
      </c>
      <c r="G159" s="354"/>
      <c r="H159" s="354"/>
      <c r="I159" s="354"/>
      <c r="J159" s="354"/>
      <c r="K159" s="546">
        <f>K45</f>
        <v>257702</v>
      </c>
      <c r="L159" s="546">
        <f ca="1">SUM(L157:L158)</f>
        <v>12353.438354750804</v>
      </c>
      <c r="M159" s="546">
        <f t="shared" ref="M159:R159" ca="1" si="135">SUM(M157:M158)</f>
        <v>38778</v>
      </c>
      <c r="N159" s="546">
        <f t="shared" ca="1" si="135"/>
        <v>38778</v>
      </c>
      <c r="O159" s="546">
        <f t="shared" ca="1" si="135"/>
        <v>38778</v>
      </c>
      <c r="P159" s="546">
        <f t="shared" ca="1" si="135"/>
        <v>38778</v>
      </c>
      <c r="Q159" s="546">
        <f t="shared" ca="1" si="135"/>
        <v>158855.28564968749</v>
      </c>
      <c r="R159" s="546">
        <f t="shared" ca="1" si="135"/>
        <v>335807.68530326779</v>
      </c>
      <c r="S159" s="546">
        <f ca="1">SUM(S157:S158)</f>
        <v>329961.41795822652</v>
      </c>
      <c r="T159" s="546">
        <f ca="1">SUM(T157:T158)</f>
        <v>12353.39835475065</v>
      </c>
    </row>
    <row r="160" spans="1:20" x14ac:dyDescent="0.45">
      <c r="G160" s="136"/>
      <c r="H160" s="136"/>
      <c r="I160" s="136"/>
      <c r="J160" s="136"/>
      <c r="K160" s="136"/>
      <c r="L160" s="136"/>
      <c r="M160" s="136"/>
      <c r="N160" s="136"/>
      <c r="O160" s="136"/>
      <c r="P160" s="136"/>
      <c r="Q160" s="136"/>
      <c r="R160" s="136"/>
      <c r="S160" s="136"/>
      <c r="T160" s="136"/>
    </row>
    <row r="161" spans="1:21" ht="15" customHeight="1" x14ac:dyDescent="0.45">
      <c r="A161" s="107" t="s">
        <v>18</v>
      </c>
      <c r="B161" s="108" t="s">
        <v>275</v>
      </c>
      <c r="C161" s="109"/>
      <c r="D161" s="109"/>
      <c r="E161" s="109"/>
      <c r="F161" s="109"/>
      <c r="G161" s="109"/>
      <c r="H161" s="109"/>
      <c r="I161" s="109"/>
      <c r="J161" s="109"/>
      <c r="K161" s="109"/>
      <c r="L161" s="109"/>
      <c r="M161" s="109"/>
      <c r="N161" s="109"/>
      <c r="O161" s="109"/>
      <c r="P161" s="109"/>
      <c r="Q161" s="109"/>
      <c r="R161" s="109"/>
      <c r="S161" s="109"/>
      <c r="T161" s="109"/>
    </row>
    <row r="162" spans="1:21" outlineLevel="1" x14ac:dyDescent="0.45">
      <c r="B162" s="616" t="s">
        <v>21</v>
      </c>
      <c r="C162" s="616"/>
      <c r="F162" s="3"/>
      <c r="G162" s="3"/>
      <c r="H162" s="3"/>
      <c r="I162" s="3"/>
      <c r="J162" s="3"/>
      <c r="K162" s="3"/>
      <c r="L162" s="3"/>
      <c r="M162" s="3"/>
      <c r="N162" s="3"/>
      <c r="O162" s="3"/>
      <c r="P162" s="3"/>
      <c r="Q162" s="3"/>
      <c r="R162" s="3"/>
      <c r="S162" s="615" t="s">
        <v>176</v>
      </c>
      <c r="T162" s="615"/>
    </row>
    <row r="163" spans="1:21" ht="14.65" outlineLevel="1" thickBot="1" x14ac:dyDescent="0.5">
      <c r="A163" s="111"/>
      <c r="B163" s="112"/>
      <c r="F163" s="3"/>
      <c r="G163" s="517" t="s">
        <v>112</v>
      </c>
      <c r="H163" s="427" t="s">
        <v>113</v>
      </c>
      <c r="I163" s="427" t="s">
        <v>114</v>
      </c>
      <c r="J163" s="427" t="s">
        <v>115</v>
      </c>
      <c r="K163" s="427" t="s">
        <v>116</v>
      </c>
      <c r="L163" s="101" t="s">
        <v>117</v>
      </c>
      <c r="M163" s="102">
        <v>2025</v>
      </c>
      <c r="N163" s="102">
        <f>M163+1</f>
        <v>2026</v>
      </c>
      <c r="O163" s="102">
        <f t="shared" ref="O163" si="136">N163+1</f>
        <v>2027</v>
      </c>
      <c r="P163" s="102">
        <f t="shared" ref="P163" si="137">O163+1</f>
        <v>2028</v>
      </c>
      <c r="Q163" s="102">
        <f>P163+1</f>
        <v>2029</v>
      </c>
      <c r="R163" s="102">
        <f>Q163+1</f>
        <v>2030</v>
      </c>
      <c r="S163" s="284">
        <v>45582</v>
      </c>
      <c r="T163" s="284">
        <v>45657</v>
      </c>
    </row>
    <row r="164" spans="1:21" outlineLevel="1" x14ac:dyDescent="0.45">
      <c r="A164" s="111"/>
      <c r="B164" s="111"/>
      <c r="F164" s="64" t="s">
        <v>119</v>
      </c>
      <c r="G164" s="425">
        <v>43830</v>
      </c>
      <c r="H164" s="425">
        <v>44196</v>
      </c>
      <c r="I164" s="425">
        <v>44561</v>
      </c>
      <c r="J164" s="425">
        <v>44926</v>
      </c>
      <c r="K164" s="425">
        <v>45291</v>
      </c>
      <c r="L164" s="425">
        <v>45657</v>
      </c>
      <c r="M164" s="425">
        <v>46022</v>
      </c>
      <c r="N164" s="425">
        <v>46387</v>
      </c>
      <c r="O164" s="425">
        <v>46752</v>
      </c>
      <c r="P164" s="425">
        <v>47118</v>
      </c>
      <c r="Q164" s="425">
        <v>47483</v>
      </c>
      <c r="R164" s="425">
        <v>47848</v>
      </c>
      <c r="S164" s="425">
        <v>45582</v>
      </c>
      <c r="T164" s="425">
        <v>45657</v>
      </c>
    </row>
    <row r="165" spans="1:21" outlineLevel="1" x14ac:dyDescent="0.45">
      <c r="A165" s="111"/>
      <c r="B165" s="111"/>
      <c r="F165" s="64" t="s">
        <v>120</v>
      </c>
      <c r="G165" s="418">
        <v>365</v>
      </c>
      <c r="H165" s="288">
        <f>G165</f>
        <v>365</v>
      </c>
      <c r="I165" s="288">
        <f t="shared" ref="I165" si="138">H165</f>
        <v>365</v>
      </c>
      <c r="J165" s="288">
        <f t="shared" ref="J165" si="139">I165</f>
        <v>365</v>
      </c>
      <c r="K165" s="288">
        <f t="shared" ref="K165" si="140">J165</f>
        <v>365</v>
      </c>
      <c r="L165" s="288">
        <f t="shared" ref="L165" si="141">K165</f>
        <v>365</v>
      </c>
      <c r="M165" s="288">
        <f t="shared" ref="M165" si="142">L165</f>
        <v>365</v>
      </c>
      <c r="N165" s="288">
        <f t="shared" ref="N165" si="143">M165</f>
        <v>365</v>
      </c>
      <c r="O165" s="288">
        <f t="shared" ref="O165" si="144">N165</f>
        <v>365</v>
      </c>
      <c r="P165" s="288">
        <f t="shared" ref="P165" si="145">O165</f>
        <v>365</v>
      </c>
      <c r="Q165" s="288">
        <f t="shared" ref="Q165" si="146">P165</f>
        <v>365</v>
      </c>
      <c r="R165" s="288">
        <f t="shared" ref="R165" si="147">Q165</f>
        <v>365</v>
      </c>
      <c r="S165" s="288">
        <f>_xlfn.DAYS(S164,K164)</f>
        <v>291</v>
      </c>
      <c r="T165" s="288">
        <f>_xlfn.DAYS(T164,S164)</f>
        <v>75</v>
      </c>
    </row>
    <row r="166" spans="1:21" outlineLevel="1" x14ac:dyDescent="0.45">
      <c r="A166" s="111"/>
      <c r="B166" s="111"/>
      <c r="F166" s="64" t="s">
        <v>122</v>
      </c>
      <c r="G166" s="439">
        <v>1</v>
      </c>
      <c r="H166" s="440">
        <f>YEARFRAC(G164,H164)</f>
        <v>1</v>
      </c>
      <c r="I166" s="440">
        <f t="shared" ref="I166" si="148">YEARFRAC(H164,I164)</f>
        <v>1</v>
      </c>
      <c r="J166" s="440">
        <f t="shared" ref="J166" si="149">YEARFRAC(I164,J164)</f>
        <v>1</v>
      </c>
      <c r="K166" s="440">
        <f t="shared" ref="K166" si="150">YEARFRAC(J164,K164)</f>
        <v>1</v>
      </c>
      <c r="L166" s="440">
        <f t="shared" ref="L166" si="151">YEARFRAC(K164,L164)</f>
        <v>1</v>
      </c>
      <c r="M166" s="440">
        <f t="shared" ref="M166" si="152">YEARFRAC(L164,M164)</f>
        <v>1</v>
      </c>
      <c r="N166" s="440">
        <f t="shared" ref="N166" si="153">YEARFRAC(M164,N164)</f>
        <v>1</v>
      </c>
      <c r="O166" s="440">
        <f t="shared" ref="O166" si="154">YEARFRAC(N164,O164)</f>
        <v>1</v>
      </c>
      <c r="P166" s="440">
        <f t="shared" ref="P166" si="155">YEARFRAC(O164,P164)</f>
        <v>1</v>
      </c>
      <c r="Q166" s="440">
        <f t="shared" ref="Q166" si="156">YEARFRAC(P164,Q164)</f>
        <v>1</v>
      </c>
      <c r="R166" s="440">
        <f t="shared" ref="R166" si="157">YEARFRAC(Q164,R164)</f>
        <v>1</v>
      </c>
      <c r="S166" s="590">
        <f>'Transaction Details'!$H$30</f>
        <v>0.79722222222222228</v>
      </c>
      <c r="T166" s="590">
        <f>'Transaction Details'!$H$31</f>
        <v>0.20277777777777772</v>
      </c>
    </row>
    <row r="167" spans="1:21" outlineLevel="1" x14ac:dyDescent="0.45">
      <c r="A167" s="111"/>
      <c r="B167" s="111"/>
      <c r="F167" s="64" t="s">
        <v>123</v>
      </c>
      <c r="G167" s="426" t="s">
        <v>124</v>
      </c>
      <c r="H167" s="426" t="s">
        <v>124</v>
      </c>
      <c r="I167" s="426" t="s">
        <v>124</v>
      </c>
      <c r="J167" s="426" t="s">
        <v>124</v>
      </c>
      <c r="K167" s="426" t="s">
        <v>124</v>
      </c>
      <c r="L167" s="426" t="s">
        <v>124</v>
      </c>
      <c r="M167" s="426" t="s">
        <v>124</v>
      </c>
      <c r="N167" s="426" t="s">
        <v>124</v>
      </c>
      <c r="O167" s="426" t="s">
        <v>124</v>
      </c>
      <c r="P167" s="426" t="s">
        <v>124</v>
      </c>
      <c r="Q167" s="426" t="s">
        <v>124</v>
      </c>
      <c r="R167" s="426" t="s">
        <v>124</v>
      </c>
      <c r="S167" s="426" t="s">
        <v>124</v>
      </c>
      <c r="T167" s="426" t="s">
        <v>124</v>
      </c>
    </row>
    <row r="168" spans="1:21" outlineLevel="1" x14ac:dyDescent="0.45">
      <c r="A168" s="111"/>
      <c r="B168" s="116"/>
      <c r="F168" s="114"/>
      <c r="G168" s="115"/>
      <c r="H168" s="115"/>
      <c r="I168" s="115"/>
      <c r="J168" s="115"/>
      <c r="K168" s="115"/>
      <c r="L168" s="115"/>
      <c r="M168" s="115"/>
      <c r="N168" s="115"/>
      <c r="O168" s="115"/>
      <c r="P168" s="115"/>
      <c r="Q168" s="115"/>
      <c r="R168" s="115"/>
    </row>
    <row r="169" spans="1:21" outlineLevel="1" x14ac:dyDescent="0.45">
      <c r="A169" s="111"/>
      <c r="B169" s="111"/>
    </row>
    <row r="170" spans="1:21" outlineLevel="1" x14ac:dyDescent="0.45">
      <c r="A170" s="111"/>
      <c r="B170" s="116" t="s">
        <v>177</v>
      </c>
      <c r="G170" s="546">
        <f t="shared" ref="G170:L170" si="158">SUM(G175,G183,G198)</f>
        <v>484751</v>
      </c>
      <c r="H170" s="546">
        <f t="shared" si="158"/>
        <v>621149</v>
      </c>
      <c r="I170" s="546">
        <f t="shared" si="158"/>
        <v>784038</v>
      </c>
      <c r="J170" s="546">
        <f t="shared" si="158"/>
        <v>866972</v>
      </c>
      <c r="K170" s="546">
        <f t="shared" si="158"/>
        <v>1012336</v>
      </c>
      <c r="L170" s="546">
        <f t="shared" si="158"/>
        <v>1177716.0316533335</v>
      </c>
      <c r="M170" s="546">
        <f t="shared" ref="M170:T170" si="159">SUM(M175,M183,M198)</f>
        <v>1304310.7606911066</v>
      </c>
      <c r="N170" s="546">
        <f t="shared" si="159"/>
        <v>1465297.1818150722</v>
      </c>
      <c r="O170" s="546">
        <f t="shared" si="159"/>
        <v>1666325.0837052155</v>
      </c>
      <c r="P170" s="546">
        <f t="shared" si="159"/>
        <v>1904591.5160761846</v>
      </c>
      <c r="Q170" s="546">
        <f t="shared" si="159"/>
        <v>2184085.1131414268</v>
      </c>
      <c r="R170" s="546">
        <f t="shared" si="159"/>
        <v>2521384.9434260121</v>
      </c>
      <c r="S170" s="546">
        <f>SUM(S175,S183,S198)</f>
        <v>938901.39190140751</v>
      </c>
      <c r="T170" s="546">
        <f t="shared" si="159"/>
        <v>238814.63975192586</v>
      </c>
    </row>
    <row r="171" spans="1:21" s="119" customFormat="1" outlineLevel="1" x14ac:dyDescent="0.45">
      <c r="A171" s="117"/>
      <c r="B171" s="118" t="s">
        <v>276</v>
      </c>
      <c r="F171" s="106"/>
      <c r="G171" s="293" t="s">
        <v>108</v>
      </c>
      <c r="H171" s="149">
        <f t="shared" ref="H171:R171" si="160">H170/G170 - 1</f>
        <v>0.28137744945343068</v>
      </c>
      <c r="I171" s="149">
        <f t="shared" si="160"/>
        <v>0.26223820693585598</v>
      </c>
      <c r="J171" s="149">
        <f t="shared" si="160"/>
        <v>0.10577803626865023</v>
      </c>
      <c r="K171" s="149">
        <f t="shared" si="160"/>
        <v>0.16766862136262772</v>
      </c>
      <c r="L171" s="149">
        <f t="shared" si="160"/>
        <v>0.163364763925548</v>
      </c>
      <c r="M171" s="149">
        <f t="shared" si="160"/>
        <v>0.10749172604881108</v>
      </c>
      <c r="N171" s="149">
        <f t="shared" si="160"/>
        <v>0.12342643024632016</v>
      </c>
      <c r="O171" s="149">
        <f t="shared" si="160"/>
        <v>0.1371925807167178</v>
      </c>
      <c r="P171" s="149">
        <f t="shared" si="160"/>
        <v>0.14298916502004722</v>
      </c>
      <c r="Q171" s="149">
        <f t="shared" si="160"/>
        <v>0.14674726559795426</v>
      </c>
      <c r="R171" s="149">
        <f t="shared" si="160"/>
        <v>0.15443529570120007</v>
      </c>
      <c r="S171" s="104"/>
      <c r="T171" s="104"/>
      <c r="U171" s="106"/>
    </row>
    <row r="172" spans="1:21" s="119" customFormat="1" outlineLevel="1" x14ac:dyDescent="0.45">
      <c r="A172" s="117"/>
      <c r="B172" s="118"/>
      <c r="F172" s="106"/>
      <c r="G172" s="106"/>
      <c r="H172" s="106"/>
      <c r="I172" s="106"/>
      <c r="J172" s="106"/>
      <c r="K172" s="106"/>
      <c r="L172" s="106"/>
      <c r="M172" s="106"/>
      <c r="N172" s="106"/>
      <c r="O172" s="106"/>
      <c r="P172" s="106"/>
      <c r="Q172" s="106"/>
      <c r="R172" s="106"/>
      <c r="S172" s="106"/>
      <c r="T172" s="106"/>
      <c r="U172" s="106"/>
    </row>
    <row r="173" spans="1:21" s="3" customFormat="1" outlineLevel="1" x14ac:dyDescent="0.45">
      <c r="A173" s="1" t="s">
        <v>148</v>
      </c>
      <c r="B173" s="163" t="s">
        <v>277</v>
      </c>
      <c r="C173" s="164"/>
      <c r="D173" s="164"/>
      <c r="E173" s="164"/>
      <c r="F173" s="164"/>
      <c r="G173" s="164"/>
      <c r="H173" s="164"/>
      <c r="I173" s="164"/>
      <c r="J173" s="164"/>
      <c r="K173" s="164"/>
      <c r="L173" s="164"/>
      <c r="M173" s="164"/>
      <c r="N173" s="164"/>
      <c r="O173" s="164"/>
      <c r="P173" s="164"/>
      <c r="Q173" s="164"/>
      <c r="R173" s="164"/>
      <c r="S173" s="164"/>
      <c r="T173" s="164"/>
      <c r="U173" s="106"/>
    </row>
    <row r="174" spans="1:21" s="119" customFormat="1" outlineLevel="1" x14ac:dyDescent="0.45">
      <c r="A174" s="117"/>
      <c r="B174" s="118"/>
      <c r="F174" s="106"/>
      <c r="G174" s="106"/>
      <c r="H174" s="106"/>
      <c r="I174" s="106"/>
      <c r="J174" s="106"/>
      <c r="K174" s="106"/>
      <c r="L174" s="106"/>
      <c r="M174" s="106"/>
      <c r="N174" s="106"/>
      <c r="O174" s="106"/>
      <c r="P174" s="106"/>
      <c r="Q174" s="106"/>
      <c r="R174" s="106"/>
      <c r="S174" s="106"/>
      <c r="T174" s="106"/>
      <c r="U174" s="106"/>
    </row>
    <row r="175" spans="1:21" s="119" customFormat="1" outlineLevel="1" x14ac:dyDescent="0.45">
      <c r="A175" s="117"/>
      <c r="B175" s="116" t="s">
        <v>278</v>
      </c>
      <c r="F175" s="106"/>
      <c r="G175" s="546">
        <f>G178*G$195</f>
        <v>471328</v>
      </c>
      <c r="H175" s="546">
        <f t="shared" ref="H175:K175" si="161">H178*H$195</f>
        <v>587640</v>
      </c>
      <c r="I175" s="546">
        <f t="shared" si="161"/>
        <v>723877</v>
      </c>
      <c r="J175" s="546">
        <f t="shared" si="161"/>
        <v>791695</v>
      </c>
      <c r="K175" s="546">
        <f t="shared" si="161"/>
        <v>932092.5</v>
      </c>
      <c r="L175" s="546">
        <f>L178*L$195</f>
        <v>1050035.7186</v>
      </c>
      <c r="M175" s="546">
        <f t="shared" ref="M175:R175" si="162">M178*M$195</f>
        <v>1133563.6855619999</v>
      </c>
      <c r="N175" s="546">
        <f t="shared" si="162"/>
        <v>1241762.3393488929</v>
      </c>
      <c r="O175" s="546">
        <f t="shared" si="162"/>
        <v>1380159.5321342661</v>
      </c>
      <c r="P175" s="546">
        <f t="shared" si="162"/>
        <v>1548538.9950546466</v>
      </c>
      <c r="Q175" s="546">
        <f t="shared" si="162"/>
        <v>1753998.6889564192</v>
      </c>
      <c r="R175" s="546">
        <f t="shared" si="162"/>
        <v>2015225.2562616277</v>
      </c>
      <c r="S175" s="546">
        <f>L175*S166</f>
        <v>837111.80899500009</v>
      </c>
      <c r="T175" s="546">
        <f>L175*T166</f>
        <v>212923.90960499994</v>
      </c>
      <c r="U175" s="106"/>
    </row>
    <row r="176" spans="1:21" outlineLevel="1" x14ac:dyDescent="0.45">
      <c r="A176" s="111"/>
      <c r="B176" s="118" t="s">
        <v>276</v>
      </c>
      <c r="C176" s="119"/>
      <c r="D176" s="119"/>
      <c r="E176" s="119"/>
      <c r="G176" s="293" t="s">
        <v>108</v>
      </c>
      <c r="H176" s="337">
        <f>H175/G175 - 1</f>
        <v>0.24677506959060347</v>
      </c>
      <c r="I176" s="337">
        <f t="shared" ref="I176:R176" si="163">I175/H175 - 1</f>
        <v>0.23183751956980458</v>
      </c>
      <c r="J176" s="337">
        <f t="shared" si="163"/>
        <v>9.3687187187878607E-2</v>
      </c>
      <c r="K176" s="337">
        <f t="shared" si="163"/>
        <v>0.17733786369750981</v>
      </c>
      <c r="L176" s="337">
        <f t="shared" si="163"/>
        <v>0.12653595925297112</v>
      </c>
      <c r="M176" s="337">
        <f t="shared" si="163"/>
        <v>7.9547738693467318E-2</v>
      </c>
      <c r="N176" s="337">
        <f t="shared" si="163"/>
        <v>9.5450000000000035E-2</v>
      </c>
      <c r="O176" s="337">
        <f t="shared" si="163"/>
        <v>0.11145223880597044</v>
      </c>
      <c r="P176" s="337">
        <f t="shared" si="163"/>
        <v>0.12200000000000011</v>
      </c>
      <c r="Q176" s="337">
        <f t="shared" si="163"/>
        <v>0.13267970297029685</v>
      </c>
      <c r="R176" s="337">
        <f t="shared" si="163"/>
        <v>0.1489320197044337</v>
      </c>
      <c r="S176" s="104"/>
      <c r="T176" s="104"/>
    </row>
    <row r="177" spans="1:21" s="119" customFormat="1" outlineLevel="1" x14ac:dyDescent="0.45">
      <c r="A177" s="117"/>
      <c r="B177" s="118"/>
      <c r="F177" s="106"/>
      <c r="G177" s="106"/>
      <c r="H177" s="106"/>
      <c r="I177" s="106"/>
      <c r="J177" s="106"/>
      <c r="K177" s="106"/>
      <c r="L177" s="106"/>
      <c r="M177" s="106"/>
      <c r="N177" s="106"/>
      <c r="O177" s="106"/>
      <c r="P177" s="106"/>
      <c r="Q177" s="106"/>
      <c r="R177" s="106"/>
      <c r="S177" s="106"/>
      <c r="T177" s="106"/>
      <c r="U177" s="106"/>
    </row>
    <row r="178" spans="1:21" outlineLevel="1" x14ac:dyDescent="0.45">
      <c r="A178" s="111"/>
      <c r="B178" s="116" t="s">
        <v>279</v>
      </c>
      <c r="C178" s="121"/>
      <c r="D178" s="121"/>
      <c r="E178" s="121"/>
      <c r="G178" s="289">
        <v>176</v>
      </c>
      <c r="H178" s="289">
        <v>177</v>
      </c>
      <c r="I178" s="289">
        <v>187</v>
      </c>
      <c r="J178" s="289">
        <v>191</v>
      </c>
      <c r="K178" s="289">
        <v>211</v>
      </c>
      <c r="L178" s="196">
        <f>K178*(1+L179)</f>
        <v>227.88000000000002</v>
      </c>
      <c r="M178" s="196">
        <f t="shared" ref="M178:R178" si="164">L178*(1+M179)</f>
        <v>247.24980000000002</v>
      </c>
      <c r="N178" s="196">
        <f t="shared" si="164"/>
        <v>269.50228200000004</v>
      </c>
      <c r="O178" s="196">
        <f t="shared" si="164"/>
        <v>295.10499879000002</v>
      </c>
      <c r="P178" s="196">
        <f t="shared" si="164"/>
        <v>324.61549866900003</v>
      </c>
      <c r="Q178" s="196">
        <f t="shared" si="164"/>
        <v>358.70012602924504</v>
      </c>
      <c r="R178" s="196">
        <f t="shared" si="164"/>
        <v>398.15713989246206</v>
      </c>
      <c r="S178" s="104"/>
      <c r="T178" s="104"/>
    </row>
    <row r="179" spans="1:21" outlineLevel="1" x14ac:dyDescent="0.45">
      <c r="A179" s="111"/>
      <c r="B179" s="118" t="s">
        <v>276</v>
      </c>
      <c r="C179" s="119"/>
      <c r="D179" s="119"/>
      <c r="E179" s="119"/>
      <c r="G179" s="293" t="s">
        <v>108</v>
      </c>
      <c r="H179" s="149">
        <f>H178/G178 - 1</f>
        <v>5.6818181818181213E-3</v>
      </c>
      <c r="I179" s="149">
        <f t="shared" ref="I179:K179" si="165">I178/H178 - 1</f>
        <v>5.6497175141242861E-2</v>
      </c>
      <c r="J179" s="149">
        <f t="shared" si="165"/>
        <v>2.1390374331550888E-2</v>
      </c>
      <c r="K179" s="149">
        <f t="shared" si="165"/>
        <v>0.10471204188481686</v>
      </c>
      <c r="L179" s="522">
        <f>'Key Inputs and Drivers'!L12</f>
        <v>0.08</v>
      </c>
      <c r="M179" s="522">
        <f>'Key Inputs and Drivers'!M12</f>
        <v>8.5000000000000006E-2</v>
      </c>
      <c r="N179" s="522">
        <f>'Key Inputs and Drivers'!N12</f>
        <v>0.09</v>
      </c>
      <c r="O179" s="522">
        <f>'Key Inputs and Drivers'!O12</f>
        <v>9.5000000000000001E-2</v>
      </c>
      <c r="P179" s="522">
        <f>'Key Inputs and Drivers'!P12</f>
        <v>0.1</v>
      </c>
      <c r="Q179" s="522">
        <f>'Key Inputs and Drivers'!Q12</f>
        <v>0.10500000000000001</v>
      </c>
      <c r="R179" s="522">
        <f>'Key Inputs and Drivers'!R12</f>
        <v>0.11000000000000001</v>
      </c>
      <c r="S179" s="104"/>
      <c r="T179" s="104"/>
    </row>
    <row r="180" spans="1:21" s="119" customFormat="1" outlineLevel="1" x14ac:dyDescent="0.45">
      <c r="A180" s="117"/>
      <c r="B180" s="118"/>
      <c r="F180" s="106"/>
      <c r="G180" s="106"/>
      <c r="H180" s="106"/>
      <c r="I180" s="106"/>
      <c r="J180" s="106"/>
      <c r="K180" s="106"/>
      <c r="L180" s="106"/>
      <c r="M180" s="106"/>
      <c r="N180" s="106"/>
      <c r="O180" s="106"/>
      <c r="P180" s="106"/>
      <c r="Q180" s="106"/>
      <c r="R180" s="106"/>
      <c r="S180" s="106"/>
      <c r="T180" s="106"/>
      <c r="U180" s="106"/>
    </row>
    <row r="181" spans="1:21" s="3" customFormat="1" outlineLevel="1" x14ac:dyDescent="0.45">
      <c r="A181" s="1" t="s">
        <v>148</v>
      </c>
      <c r="B181" s="163" t="s">
        <v>280</v>
      </c>
      <c r="C181" s="164"/>
      <c r="D181" s="164"/>
      <c r="E181" s="164"/>
      <c r="F181" s="164"/>
      <c r="G181" s="164"/>
      <c r="H181" s="164"/>
      <c r="I181" s="164"/>
      <c r="J181" s="164"/>
      <c r="K181" s="164"/>
      <c r="L181" s="164"/>
      <c r="M181" s="164"/>
      <c r="N181" s="164"/>
      <c r="O181" s="164"/>
      <c r="P181" s="164"/>
      <c r="Q181" s="164"/>
      <c r="R181" s="164"/>
      <c r="S181" s="164"/>
      <c r="T181" s="164"/>
      <c r="U181" s="106"/>
    </row>
    <row r="182" spans="1:21" s="119" customFormat="1" outlineLevel="1" x14ac:dyDescent="0.45">
      <c r="A182" s="117"/>
      <c r="B182" s="118"/>
      <c r="F182" s="106"/>
      <c r="G182" s="106"/>
      <c r="H182" s="106"/>
      <c r="I182" s="106"/>
      <c r="J182" s="106"/>
      <c r="K182" s="106"/>
      <c r="L182" s="106"/>
      <c r="M182" s="106"/>
      <c r="N182" s="106"/>
      <c r="O182" s="106"/>
      <c r="P182" s="106"/>
      <c r="Q182" s="106"/>
      <c r="R182" s="106"/>
      <c r="S182" s="106"/>
      <c r="T182" s="106"/>
      <c r="U182" s="106"/>
    </row>
    <row r="183" spans="1:21" s="119" customFormat="1" outlineLevel="1" x14ac:dyDescent="0.45">
      <c r="A183" s="117"/>
      <c r="B183" s="116" t="s">
        <v>281</v>
      </c>
      <c r="F183" s="106"/>
      <c r="G183" s="546">
        <f>G186*G$195</f>
        <v>18746</v>
      </c>
      <c r="H183" s="546">
        <f t="shared" ref="H183:K183" si="166">H186*H$195</f>
        <v>36520</v>
      </c>
      <c r="I183" s="546">
        <f t="shared" si="166"/>
        <v>61936</v>
      </c>
      <c r="J183" s="546">
        <f t="shared" si="166"/>
        <v>74610</v>
      </c>
      <c r="K183" s="546">
        <f t="shared" si="166"/>
        <v>88350</v>
      </c>
      <c r="L183" s="546">
        <f>L186*L$195</f>
        <v>127680.31305333333</v>
      </c>
      <c r="M183" s="546">
        <f t="shared" ref="M183:R183" si="167">M186*M$195</f>
        <v>170747.07512910667</v>
      </c>
      <c r="N183" s="546">
        <f t="shared" si="167"/>
        <v>223534.84246617937</v>
      </c>
      <c r="O183" s="546">
        <f t="shared" si="167"/>
        <v>286165.55157094944</v>
      </c>
      <c r="P183" s="546">
        <f t="shared" si="167"/>
        <v>356052.52102153795</v>
      </c>
      <c r="Q183" s="546">
        <f t="shared" si="167"/>
        <v>430086.42418500752</v>
      </c>
      <c r="R183" s="546">
        <f t="shared" si="167"/>
        <v>506159.68716438446</v>
      </c>
      <c r="S183" s="546">
        <f>L183*S166</f>
        <v>101789.58290640741</v>
      </c>
      <c r="T183" s="546">
        <f>L183*T166</f>
        <v>25890.730146925918</v>
      </c>
      <c r="U183" s="106"/>
    </row>
    <row r="184" spans="1:21" outlineLevel="1" x14ac:dyDescent="0.45">
      <c r="A184" s="111"/>
      <c r="B184" s="118" t="s">
        <v>276</v>
      </c>
      <c r="C184" s="119"/>
      <c r="D184" s="119"/>
      <c r="E184" s="119"/>
      <c r="G184" s="293" t="s">
        <v>108</v>
      </c>
      <c r="H184" s="337">
        <f>H183/G183 - 1</f>
        <v>0.94814893844020065</v>
      </c>
      <c r="I184" s="337">
        <f t="shared" ref="I184" si="168">I183/H183 - 1</f>
        <v>0.69594742606790794</v>
      </c>
      <c r="J184" s="337">
        <f t="shared" ref="J184" si="169">J183/I183 - 1</f>
        <v>0.20463058641177989</v>
      </c>
      <c r="K184" s="337">
        <f t="shared" ref="K184" si="170">K183/J183 - 1</f>
        <v>0.18415761962203447</v>
      </c>
      <c r="L184" s="337">
        <f t="shared" ref="L184" si="171">L183/K183 - 1</f>
        <v>0.44516483365402748</v>
      </c>
      <c r="M184" s="337">
        <f t="shared" ref="M184" si="172">M183/L183 - 1</f>
        <v>0.33730150753768839</v>
      </c>
      <c r="N184" s="337">
        <f t="shared" ref="N184" si="173">N183/M183 - 1</f>
        <v>0.30915766666666689</v>
      </c>
      <c r="O184" s="337">
        <f t="shared" ref="O184" si="174">O183/N183 - 1</f>
        <v>0.28018320729684931</v>
      </c>
      <c r="P184" s="337">
        <f t="shared" ref="P184" si="175">P183/O183 - 1</f>
        <v>0.24421866666666658</v>
      </c>
      <c r="Q184" s="337">
        <f t="shared" ref="Q184" si="176">Q183/P183 - 1</f>
        <v>0.20792972607260718</v>
      </c>
      <c r="R184" s="337">
        <f t="shared" ref="R184" si="177">R183/Q183 - 1</f>
        <v>0.17687901477832502</v>
      </c>
      <c r="S184" s="104"/>
      <c r="T184" s="104"/>
    </row>
    <row r="185" spans="1:21" s="119" customFormat="1" outlineLevel="1" x14ac:dyDescent="0.45">
      <c r="A185" s="117"/>
      <c r="B185" s="118"/>
      <c r="F185" s="106"/>
      <c r="G185" s="106"/>
      <c r="H185" s="106"/>
      <c r="I185" s="106"/>
      <c r="J185" s="106"/>
      <c r="K185" s="106"/>
      <c r="L185" s="106"/>
      <c r="M185" s="106"/>
      <c r="N185" s="106"/>
      <c r="O185" s="106"/>
      <c r="P185" s="106"/>
      <c r="Q185" s="106"/>
      <c r="R185" s="106"/>
      <c r="S185" s="106"/>
      <c r="T185" s="106"/>
      <c r="U185" s="106"/>
    </row>
    <row r="186" spans="1:21" outlineLevel="1" x14ac:dyDescent="0.45">
      <c r="A186" s="111"/>
      <c r="B186" s="116" t="s">
        <v>279</v>
      </c>
      <c r="C186" s="121"/>
      <c r="D186" s="121"/>
      <c r="E186" s="121"/>
      <c r="G186" s="289">
        <v>7</v>
      </c>
      <c r="H186" s="289">
        <v>11</v>
      </c>
      <c r="I186" s="289">
        <v>16</v>
      </c>
      <c r="J186" s="289">
        <v>18</v>
      </c>
      <c r="K186" s="289">
        <v>20</v>
      </c>
      <c r="L186" s="106">
        <f>K186*(1+L187)</f>
        <v>27.709333333333337</v>
      </c>
      <c r="M186" s="106">
        <f t="shared" ref="M186" si="178">L186*(1+M187)</f>
        <v>37.242883407407412</v>
      </c>
      <c r="N186" s="106">
        <f t="shared" ref="N186" si="179">M186*(1+N187)</f>
        <v>48.514235165751451</v>
      </c>
      <c r="O186" s="106">
        <f t="shared" ref="O186" si="180">N186*(1+O187)</f>
        <v>61.187770532217925</v>
      </c>
      <c r="P186" s="106">
        <f t="shared" ref="P186" si="181">O186*(1+P187)</f>
        <v>74.638202223433467</v>
      </c>
      <c r="Q186" s="106">
        <f t="shared" ref="Q186" si="182">P186*(1+Q187)</f>
        <v>87.954486813452036</v>
      </c>
      <c r="R186" s="106">
        <f t="shared" ref="R186" si="183">Q186*(1+R187)</f>
        <v>100.00425150689496</v>
      </c>
      <c r="S186" s="104"/>
      <c r="T186" s="104"/>
    </row>
    <row r="187" spans="1:21" outlineLevel="1" x14ac:dyDescent="0.45">
      <c r="A187" s="111"/>
      <c r="B187" s="118" t="s">
        <v>276</v>
      </c>
      <c r="C187" s="119"/>
      <c r="D187" s="119"/>
      <c r="E187" s="119"/>
      <c r="G187" s="293" t="s">
        <v>108</v>
      </c>
      <c r="H187" s="149">
        <f>H186/G186 - 1</f>
        <v>0.5714285714285714</v>
      </c>
      <c r="I187" s="149">
        <f t="shared" ref="I187" si="184">I186/H186 - 1</f>
        <v>0.45454545454545459</v>
      </c>
      <c r="J187" s="149">
        <f t="shared" ref="J187" si="185">J186/I186 - 1</f>
        <v>0.125</v>
      </c>
      <c r="K187" s="149">
        <f t="shared" ref="K187" si="186">K186/J186 - 1</f>
        <v>0.11111111111111116</v>
      </c>
      <c r="L187" s="522">
        <f>'Key Inputs and Drivers'!L17</f>
        <v>0.38546666666666674</v>
      </c>
      <c r="M187" s="522">
        <f>'Key Inputs and Drivers'!M17</f>
        <v>0.34405555555555561</v>
      </c>
      <c r="N187" s="522">
        <f>'Key Inputs and Drivers'!N17</f>
        <v>0.30264444444444449</v>
      </c>
      <c r="O187" s="522">
        <f>'Key Inputs and Drivers'!O17</f>
        <v>0.26123333333333337</v>
      </c>
      <c r="P187" s="522">
        <f>'Key Inputs and Drivers'!P17</f>
        <v>0.21982222222222225</v>
      </c>
      <c r="Q187" s="522">
        <f>'Key Inputs and Drivers'!Q17</f>
        <v>0.17841111111111113</v>
      </c>
      <c r="R187" s="522">
        <f>'Key Inputs and Drivers'!R17</f>
        <v>0.13700000000000001</v>
      </c>
      <c r="S187" s="104"/>
      <c r="T187" s="104"/>
    </row>
    <row r="188" spans="1:21" outlineLevel="1" x14ac:dyDescent="0.45">
      <c r="A188" s="111"/>
      <c r="B188" s="118"/>
      <c r="D188" s="119"/>
      <c r="E188" s="119"/>
    </row>
    <row r="189" spans="1:21" s="3" customFormat="1" outlineLevel="1" x14ac:dyDescent="0.45">
      <c r="A189" s="1" t="s">
        <v>148</v>
      </c>
      <c r="B189" s="163" t="s">
        <v>282</v>
      </c>
      <c r="C189" s="164"/>
      <c r="D189" s="164"/>
      <c r="E189" s="164"/>
      <c r="F189" s="164"/>
      <c r="G189" s="164"/>
      <c r="H189" s="164"/>
      <c r="I189" s="164"/>
      <c r="J189" s="164"/>
      <c r="K189" s="164"/>
      <c r="L189" s="164"/>
      <c r="M189" s="164"/>
      <c r="N189" s="164"/>
      <c r="O189" s="164"/>
      <c r="P189" s="164"/>
      <c r="Q189" s="164"/>
      <c r="R189" s="164"/>
      <c r="S189" s="164"/>
      <c r="T189" s="164"/>
      <c r="U189" s="106"/>
    </row>
    <row r="190" spans="1:21" s="119" customFormat="1" outlineLevel="1" x14ac:dyDescent="0.45">
      <c r="A190" s="117"/>
      <c r="B190" s="118"/>
      <c r="F190" s="106"/>
      <c r="G190" s="106"/>
      <c r="H190" s="106"/>
      <c r="I190" s="106"/>
      <c r="J190" s="106"/>
      <c r="K190" s="106"/>
      <c r="L190" s="106"/>
      <c r="M190" s="106"/>
      <c r="N190" s="106"/>
      <c r="O190" s="106"/>
      <c r="P190" s="106"/>
      <c r="Q190" s="106"/>
      <c r="R190" s="106"/>
      <c r="S190" s="106"/>
      <c r="T190" s="106"/>
      <c r="U190" s="106"/>
    </row>
    <row r="191" spans="1:21" s="119" customFormat="1" outlineLevel="1" x14ac:dyDescent="0.45">
      <c r="A191" s="117"/>
      <c r="B191" s="116" t="s">
        <v>283</v>
      </c>
      <c r="F191" s="106"/>
      <c r="G191" s="289">
        <v>2376</v>
      </c>
      <c r="H191" s="289">
        <v>2980</v>
      </c>
      <c r="I191" s="289">
        <v>3656</v>
      </c>
      <c r="J191" s="289">
        <v>4086</v>
      </c>
      <c r="K191" s="289">
        <v>4204</v>
      </c>
      <c r="L191" s="292">
        <f>K193</f>
        <v>4631</v>
      </c>
      <c r="M191" s="292">
        <f t="shared" ref="M191:R191" si="187">L193</f>
        <v>4584.6899999999996</v>
      </c>
      <c r="N191" s="292">
        <f t="shared" si="187"/>
        <v>4584.6899999999996</v>
      </c>
      <c r="O191" s="292">
        <f t="shared" si="187"/>
        <v>4630.5369000000001</v>
      </c>
      <c r="P191" s="292">
        <f t="shared" si="187"/>
        <v>4723.1476380000004</v>
      </c>
      <c r="Q191" s="292">
        <f t="shared" si="187"/>
        <v>4817.6105907600004</v>
      </c>
      <c r="R191" s="292">
        <f t="shared" si="187"/>
        <v>4962.1389084828006</v>
      </c>
      <c r="S191" s="104"/>
      <c r="T191" s="104"/>
      <c r="U191" s="106"/>
    </row>
    <row r="192" spans="1:21" s="119" customFormat="1" outlineLevel="1" x14ac:dyDescent="0.45">
      <c r="A192" s="117"/>
      <c r="B192" s="118" t="s">
        <v>284</v>
      </c>
      <c r="F192" s="106"/>
      <c r="G192" s="149">
        <f>G193/G191</f>
        <v>1.2542087542087541</v>
      </c>
      <c r="H192" s="149">
        <f t="shared" ref="H192:K192" si="188">H193/H191</f>
        <v>1.2281879194630871</v>
      </c>
      <c r="I192" s="149">
        <f t="shared" si="188"/>
        <v>1.1176148796498906</v>
      </c>
      <c r="J192" s="149">
        <f t="shared" si="188"/>
        <v>1.0288790993636809</v>
      </c>
      <c r="K192" s="149">
        <f t="shared" si="188"/>
        <v>1.101569933396765</v>
      </c>
      <c r="L192" s="522">
        <f>'Key Inputs and Drivers'!L23</f>
        <v>0.99</v>
      </c>
      <c r="M192" s="522">
        <f>'Key Inputs and Drivers'!M23</f>
        <v>1</v>
      </c>
      <c r="N192" s="522">
        <f>'Key Inputs and Drivers'!N23</f>
        <v>1.01</v>
      </c>
      <c r="O192" s="522">
        <f>'Key Inputs and Drivers'!O23</f>
        <v>1.02</v>
      </c>
      <c r="P192" s="522">
        <f>'Key Inputs and Drivers'!P23</f>
        <v>1.02</v>
      </c>
      <c r="Q192" s="522">
        <f>'Key Inputs and Drivers'!Q23</f>
        <v>1.03</v>
      </c>
      <c r="R192" s="522">
        <f>'Key Inputs and Drivers'!R23</f>
        <v>1.04</v>
      </c>
      <c r="S192" s="104"/>
      <c r="T192" s="104"/>
      <c r="U192" s="106"/>
    </row>
    <row r="193" spans="1:21" s="119" customFormat="1" outlineLevel="1" x14ac:dyDescent="0.45">
      <c r="A193" s="117"/>
      <c r="B193" s="116" t="s">
        <v>285</v>
      </c>
      <c r="F193" s="106"/>
      <c r="G193" s="289">
        <v>2980</v>
      </c>
      <c r="H193" s="289">
        <v>3660</v>
      </c>
      <c r="I193" s="289">
        <v>4086</v>
      </c>
      <c r="J193" s="289">
        <v>4204</v>
      </c>
      <c r="K193" s="290">
        <v>4631</v>
      </c>
      <c r="L193" s="292">
        <f>L192*L191</f>
        <v>4584.6899999999996</v>
      </c>
      <c r="M193" s="292">
        <f t="shared" ref="M193:R193" si="189">M192*M191</f>
        <v>4584.6899999999996</v>
      </c>
      <c r="N193" s="292">
        <f t="shared" si="189"/>
        <v>4630.5369000000001</v>
      </c>
      <c r="O193" s="292">
        <f t="shared" si="189"/>
        <v>4723.1476380000004</v>
      </c>
      <c r="P193" s="292">
        <f t="shared" si="189"/>
        <v>4817.6105907600004</v>
      </c>
      <c r="Q193" s="292">
        <f t="shared" si="189"/>
        <v>4962.1389084828006</v>
      </c>
      <c r="R193" s="292">
        <f t="shared" si="189"/>
        <v>5160.6244648221127</v>
      </c>
      <c r="S193" s="104"/>
      <c r="T193" s="104"/>
      <c r="U193" s="106"/>
    </row>
    <row r="194" spans="1:21" outlineLevel="1" x14ac:dyDescent="0.45">
      <c r="A194" s="111"/>
      <c r="B194" s="116"/>
      <c r="C194" s="121"/>
      <c r="D194" s="121"/>
      <c r="E194" s="121"/>
    </row>
    <row r="195" spans="1:21" outlineLevel="1" x14ac:dyDescent="0.45">
      <c r="A195" s="111"/>
      <c r="B195" s="116" t="s">
        <v>286</v>
      </c>
      <c r="C195" s="119"/>
      <c r="D195" s="119"/>
      <c r="E195" s="119"/>
      <c r="G195" s="292">
        <f>AVERAGE(G191,G193)</f>
        <v>2678</v>
      </c>
      <c r="H195" s="292">
        <f t="shared" ref="H195:R195" si="190">AVERAGE(H191,H193)</f>
        <v>3320</v>
      </c>
      <c r="I195" s="292">
        <f t="shared" si="190"/>
        <v>3871</v>
      </c>
      <c r="J195" s="292">
        <f t="shared" si="190"/>
        <v>4145</v>
      </c>
      <c r="K195" s="292">
        <f t="shared" si="190"/>
        <v>4417.5</v>
      </c>
      <c r="L195" s="292">
        <f t="shared" si="190"/>
        <v>4607.8449999999993</v>
      </c>
      <c r="M195" s="292">
        <f t="shared" si="190"/>
        <v>4584.6899999999996</v>
      </c>
      <c r="N195" s="292">
        <f t="shared" si="190"/>
        <v>4607.6134499999998</v>
      </c>
      <c r="O195" s="292">
        <f t="shared" si="190"/>
        <v>4676.8422690000007</v>
      </c>
      <c r="P195" s="292">
        <f t="shared" si="190"/>
        <v>4770.3791143800008</v>
      </c>
      <c r="Q195" s="292">
        <f t="shared" si="190"/>
        <v>4889.8747496214</v>
      </c>
      <c r="R195" s="292">
        <f t="shared" si="190"/>
        <v>5061.3816866524567</v>
      </c>
      <c r="S195" s="104"/>
      <c r="T195" s="104"/>
    </row>
    <row r="196" spans="1:21" outlineLevel="1" x14ac:dyDescent="0.45">
      <c r="A196" s="111"/>
      <c r="B196" s="118" t="s">
        <v>276</v>
      </c>
      <c r="C196" s="119"/>
      <c r="D196" s="119"/>
      <c r="E196" s="119"/>
      <c r="G196" s="293" t="s">
        <v>108</v>
      </c>
      <c r="H196" s="149">
        <f>H195/G195 - 1</f>
        <v>0.23973114264376405</v>
      </c>
      <c r="I196" s="149">
        <f t="shared" ref="I196:R196" si="191">I195/H195 - 1</f>
        <v>0.16596385542168668</v>
      </c>
      <c r="J196" s="149">
        <f t="shared" si="191"/>
        <v>7.0782743477137755E-2</v>
      </c>
      <c r="K196" s="149">
        <f t="shared" si="191"/>
        <v>6.5741857659831204E-2</v>
      </c>
      <c r="L196" s="149">
        <f t="shared" si="191"/>
        <v>4.308885116015837E-2</v>
      </c>
      <c r="M196" s="149">
        <f t="shared" si="191"/>
        <v>-5.0251256281406143E-3</v>
      </c>
      <c r="N196" s="149">
        <f t="shared" si="191"/>
        <v>5.0000000000001155E-3</v>
      </c>
      <c r="O196" s="149">
        <f t="shared" si="191"/>
        <v>1.5024875621890699E-2</v>
      </c>
      <c r="P196" s="149">
        <f t="shared" si="191"/>
        <v>2.0000000000000018E-2</v>
      </c>
      <c r="Q196" s="149">
        <f t="shared" si="191"/>
        <v>2.504950495049485E-2</v>
      </c>
      <c r="R196" s="149">
        <f t="shared" si="191"/>
        <v>3.5073891625615916E-2</v>
      </c>
      <c r="S196" s="104"/>
      <c r="T196" s="104"/>
    </row>
    <row r="197" spans="1:21" outlineLevel="1" x14ac:dyDescent="0.45">
      <c r="A197" s="111"/>
      <c r="B197" s="118"/>
      <c r="C197" s="119"/>
      <c r="D197" s="119"/>
      <c r="E197" s="119"/>
    </row>
    <row r="198" spans="1:21" outlineLevel="1" x14ac:dyDescent="0.45">
      <c r="A198" s="111"/>
      <c r="B198" s="114" t="s">
        <v>287</v>
      </c>
      <c r="C198" s="122"/>
      <c r="D198" s="122"/>
      <c r="E198" s="122"/>
      <c r="G198" s="289">
        <v>-5323</v>
      </c>
      <c r="H198" s="289">
        <v>-3011</v>
      </c>
      <c r="I198" s="289">
        <v>-1775</v>
      </c>
      <c r="J198" s="289">
        <v>667</v>
      </c>
      <c r="K198" s="289">
        <v>-8106.5</v>
      </c>
      <c r="L198" s="508">
        <v>0</v>
      </c>
      <c r="M198" s="509">
        <v>0</v>
      </c>
      <c r="N198" s="509">
        <v>0</v>
      </c>
      <c r="O198" s="509">
        <v>0</v>
      </c>
      <c r="P198" s="509">
        <v>0</v>
      </c>
      <c r="Q198" s="509">
        <v>0</v>
      </c>
      <c r="R198" s="509">
        <v>0</v>
      </c>
      <c r="S198" s="509">
        <v>0</v>
      </c>
      <c r="T198" s="510">
        <v>0</v>
      </c>
    </row>
    <row r="200" spans="1:21" ht="15" customHeight="1" x14ac:dyDescent="0.45">
      <c r="A200" s="107" t="s">
        <v>18</v>
      </c>
      <c r="B200" s="108" t="s">
        <v>288</v>
      </c>
      <c r="C200" s="109"/>
      <c r="D200" s="109"/>
      <c r="E200" s="109"/>
      <c r="F200" s="109"/>
      <c r="G200" s="109"/>
      <c r="H200" s="109"/>
      <c r="I200" s="109"/>
      <c r="J200" s="109"/>
      <c r="K200" s="109"/>
      <c r="L200" s="109"/>
      <c r="M200" s="109"/>
      <c r="N200" s="109"/>
      <c r="O200" s="109"/>
      <c r="P200" s="109"/>
      <c r="Q200" s="109"/>
      <c r="R200" s="109"/>
      <c r="S200" s="109"/>
      <c r="T200" s="109"/>
    </row>
    <row r="201" spans="1:21" outlineLevel="1" x14ac:dyDescent="0.45">
      <c r="B201" s="616" t="s">
        <v>21</v>
      </c>
      <c r="C201" s="616"/>
      <c r="F201" s="3"/>
      <c r="G201" s="3"/>
      <c r="H201" s="3"/>
      <c r="I201" s="3"/>
      <c r="J201" s="3"/>
      <c r="K201" s="3"/>
      <c r="L201" s="3"/>
      <c r="M201" s="3"/>
      <c r="N201" s="3"/>
      <c r="O201" s="3"/>
      <c r="P201" s="3"/>
      <c r="Q201" s="3"/>
      <c r="R201" s="3"/>
      <c r="S201" s="615" t="s">
        <v>176</v>
      </c>
      <c r="T201" s="615"/>
    </row>
    <row r="202" spans="1:21" ht="14.65" outlineLevel="1" thickBot="1" x14ac:dyDescent="0.5">
      <c r="A202" s="111"/>
      <c r="B202" s="112"/>
      <c r="F202" s="3"/>
      <c r="G202" s="517" t="s">
        <v>112</v>
      </c>
      <c r="H202" s="427" t="s">
        <v>113</v>
      </c>
      <c r="I202" s="427" t="s">
        <v>114</v>
      </c>
      <c r="J202" s="427" t="s">
        <v>115</v>
      </c>
      <c r="K202" s="427" t="s">
        <v>116</v>
      </c>
      <c r="L202" s="101" t="s">
        <v>117</v>
      </c>
      <c r="M202" s="102">
        <v>2025</v>
      </c>
      <c r="N202" s="102">
        <f>M202+1</f>
        <v>2026</v>
      </c>
      <c r="O202" s="102">
        <f t="shared" ref="O202" si="192">N202+1</f>
        <v>2027</v>
      </c>
      <c r="P202" s="102">
        <f t="shared" ref="P202" si="193">O202+1</f>
        <v>2028</v>
      </c>
      <c r="Q202" s="102">
        <f>P202+1</f>
        <v>2029</v>
      </c>
      <c r="R202" s="102">
        <f>Q202+1</f>
        <v>2030</v>
      </c>
      <c r="S202" s="284">
        <v>45582</v>
      </c>
      <c r="T202" s="284">
        <v>45657</v>
      </c>
    </row>
    <row r="203" spans="1:21" outlineLevel="1" x14ac:dyDescent="0.45">
      <c r="A203" s="111"/>
      <c r="B203" s="111"/>
      <c r="F203" s="64" t="s">
        <v>119</v>
      </c>
      <c r="G203" s="425">
        <v>43830</v>
      </c>
      <c r="H203" s="425">
        <v>44196</v>
      </c>
      <c r="I203" s="425">
        <v>44561</v>
      </c>
      <c r="J203" s="425">
        <v>44926</v>
      </c>
      <c r="K203" s="425">
        <v>45291</v>
      </c>
      <c r="L203" s="425">
        <v>45657</v>
      </c>
      <c r="M203" s="425">
        <v>46022</v>
      </c>
      <c r="N203" s="425">
        <v>46387</v>
      </c>
      <c r="O203" s="425">
        <v>46752</v>
      </c>
      <c r="P203" s="425">
        <v>47118</v>
      </c>
      <c r="Q203" s="425">
        <v>47483</v>
      </c>
      <c r="R203" s="425">
        <v>47848</v>
      </c>
      <c r="S203" s="425">
        <v>45582</v>
      </c>
      <c r="T203" s="425">
        <v>45657</v>
      </c>
    </row>
    <row r="204" spans="1:21" outlineLevel="1" x14ac:dyDescent="0.45">
      <c r="A204" s="111"/>
      <c r="B204" s="116"/>
      <c r="F204" s="64" t="s">
        <v>120</v>
      </c>
      <c r="G204" s="418">
        <v>365</v>
      </c>
      <c r="H204" s="288">
        <f>G204</f>
        <v>365</v>
      </c>
      <c r="I204" s="288">
        <f t="shared" ref="I204" si="194">H204</f>
        <v>365</v>
      </c>
      <c r="J204" s="288">
        <f t="shared" ref="J204" si="195">I204</f>
        <v>365</v>
      </c>
      <c r="K204" s="288">
        <f t="shared" ref="K204" si="196">J204</f>
        <v>365</v>
      </c>
      <c r="L204" s="288">
        <f t="shared" ref="L204" si="197">K204</f>
        <v>365</v>
      </c>
      <c r="M204" s="288">
        <f t="shared" ref="M204" si="198">L204</f>
        <v>365</v>
      </c>
      <c r="N204" s="288">
        <f t="shared" ref="N204" si="199">M204</f>
        <v>365</v>
      </c>
      <c r="O204" s="288">
        <f t="shared" ref="O204" si="200">N204</f>
        <v>365</v>
      </c>
      <c r="P204" s="288">
        <f t="shared" ref="P204" si="201">O204</f>
        <v>365</v>
      </c>
      <c r="Q204" s="288">
        <f t="shared" ref="Q204" si="202">P204</f>
        <v>365</v>
      </c>
      <c r="R204" s="288">
        <f t="shared" ref="R204" si="203">Q204</f>
        <v>365</v>
      </c>
      <c r="S204" s="288">
        <f>_xlfn.DAYS(S203,K203)</f>
        <v>291</v>
      </c>
      <c r="T204" s="288">
        <f>_xlfn.DAYS(T203,S203)</f>
        <v>75</v>
      </c>
    </row>
    <row r="205" spans="1:21" outlineLevel="1" x14ac:dyDescent="0.45">
      <c r="A205" s="111"/>
      <c r="B205" s="116"/>
      <c r="F205" s="64" t="s">
        <v>122</v>
      </c>
      <c r="G205" s="439">
        <v>1</v>
      </c>
      <c r="H205" s="440">
        <f>YEARFRAC(G203,H203)</f>
        <v>1</v>
      </c>
      <c r="I205" s="440">
        <f t="shared" ref="I205" si="204">YEARFRAC(H203,I203)</f>
        <v>1</v>
      </c>
      <c r="J205" s="440">
        <f t="shared" ref="J205" si="205">YEARFRAC(I203,J203)</f>
        <v>1</v>
      </c>
      <c r="K205" s="440">
        <f t="shared" ref="K205" si="206">YEARFRAC(J203,K203)</f>
        <v>1</v>
      </c>
      <c r="L205" s="440">
        <f t="shared" ref="L205" si="207">YEARFRAC(K203,L203)</f>
        <v>1</v>
      </c>
      <c r="M205" s="440">
        <f t="shared" ref="M205" si="208">YEARFRAC(L203,M203)</f>
        <v>1</v>
      </c>
      <c r="N205" s="440">
        <f t="shared" ref="N205" si="209">YEARFRAC(M203,N203)</f>
        <v>1</v>
      </c>
      <c r="O205" s="440">
        <f t="shared" ref="O205" si="210">YEARFRAC(N203,O203)</f>
        <v>1</v>
      </c>
      <c r="P205" s="440">
        <f t="shared" ref="P205" si="211">YEARFRAC(O203,P203)</f>
        <v>1</v>
      </c>
      <c r="Q205" s="440">
        <f t="shared" ref="Q205" si="212">YEARFRAC(P203,Q203)</f>
        <v>1</v>
      </c>
      <c r="R205" s="440">
        <f t="shared" ref="R205" si="213">YEARFRAC(Q203,R203)</f>
        <v>1</v>
      </c>
      <c r="S205" s="590">
        <f>'Transaction Details'!$H$30</f>
        <v>0.79722222222222228</v>
      </c>
      <c r="T205" s="590">
        <f>'Transaction Details'!$H$31</f>
        <v>0.20277777777777772</v>
      </c>
    </row>
    <row r="206" spans="1:21" outlineLevel="1" x14ac:dyDescent="0.45">
      <c r="A206" s="111"/>
      <c r="B206" s="116"/>
      <c r="F206" s="64" t="s">
        <v>123</v>
      </c>
      <c r="G206" s="426" t="s">
        <v>124</v>
      </c>
      <c r="H206" s="426" t="s">
        <v>124</v>
      </c>
      <c r="I206" s="426" t="s">
        <v>124</v>
      </c>
      <c r="J206" s="426" t="s">
        <v>124</v>
      </c>
      <c r="K206" s="426" t="s">
        <v>124</v>
      </c>
      <c r="L206" s="426" t="s">
        <v>124</v>
      </c>
      <c r="M206" s="426" t="s">
        <v>124</v>
      </c>
      <c r="N206" s="426" t="s">
        <v>124</v>
      </c>
      <c r="O206" s="426" t="s">
        <v>124</v>
      </c>
      <c r="P206" s="426" t="s">
        <v>124</v>
      </c>
      <c r="Q206" s="426" t="s">
        <v>124</v>
      </c>
      <c r="R206" s="426" t="s">
        <v>124</v>
      </c>
      <c r="S206" s="426" t="s">
        <v>124</v>
      </c>
      <c r="T206" s="426" t="s">
        <v>124</v>
      </c>
    </row>
    <row r="207" spans="1:21" outlineLevel="1" x14ac:dyDescent="0.45"/>
    <row r="208" spans="1:21" outlineLevel="1" x14ac:dyDescent="0.45">
      <c r="B208" s="30" t="s">
        <v>178</v>
      </c>
      <c r="G208" s="546">
        <f>G11</f>
        <v>-81910</v>
      </c>
      <c r="H208" s="546">
        <f>H11</f>
        <v>-98337</v>
      </c>
      <c r="I208" s="546">
        <f>I11</f>
        <v>-126631</v>
      </c>
      <c r="J208" s="546">
        <f>J11</f>
        <v>-152655</v>
      </c>
      <c r="K208" s="546">
        <f>K11</f>
        <v>-207520</v>
      </c>
      <c r="L208" s="546">
        <f>-(L$10)*L209</f>
        <v>-294429.00791333336</v>
      </c>
      <c r="M208" s="546">
        <f t="shared" ref="M208:R208" si="214">-(M$10)*M209</f>
        <v>-311916.60191384458</v>
      </c>
      <c r="N208" s="546">
        <f t="shared" si="214"/>
        <v>-334506.41379149788</v>
      </c>
      <c r="O208" s="546">
        <f t="shared" si="214"/>
        <v>-362306.68248561962</v>
      </c>
      <c r="P208" s="546">
        <f t="shared" si="214"/>
        <v>-393434.19032088033</v>
      </c>
      <c r="Q208" s="546">
        <f t="shared" si="214"/>
        <v>-427456.65785767912</v>
      </c>
      <c r="R208" s="546">
        <f t="shared" si="214"/>
        <v>-438720.98015612608</v>
      </c>
      <c r="S208" s="546">
        <f>$L208*S$205</f>
        <v>-234725.34797535191</v>
      </c>
      <c r="T208" s="546">
        <f>$L208*T$205</f>
        <v>-59703.659937981472</v>
      </c>
    </row>
    <row r="209" spans="1:21" s="119" customFormat="1" outlineLevel="1" x14ac:dyDescent="0.45">
      <c r="A209" s="147"/>
      <c r="B209" s="148" t="s">
        <v>289</v>
      </c>
      <c r="G209" s="149">
        <f>ABS(G208/G10)</f>
        <v>0.16897334920402435</v>
      </c>
      <c r="H209" s="149">
        <f>ABS(H208/H10)</f>
        <v>0.15831467168102983</v>
      </c>
      <c r="I209" s="149">
        <f>ABS(I208/I10)</f>
        <v>0.16151130429902633</v>
      </c>
      <c r="J209" s="149">
        <f>ABS(J208/J10)</f>
        <v>0.1760783508579285</v>
      </c>
      <c r="K209" s="149">
        <f>ABS(K208/K10)</f>
        <v>0.20499122820881605</v>
      </c>
      <c r="L209" s="522">
        <f>'Key Inputs and Drivers'!L30</f>
        <v>0.25</v>
      </c>
      <c r="M209" s="522">
        <f>'Key Inputs and Drivers'!M30</f>
        <v>0.23914285714285713</v>
      </c>
      <c r="N209" s="522">
        <f>'Key Inputs and Drivers'!N30</f>
        <v>0.22828571428571426</v>
      </c>
      <c r="O209" s="522">
        <f>'Key Inputs and Drivers'!O30</f>
        <v>0.21742857142857139</v>
      </c>
      <c r="P209" s="522">
        <f>'Key Inputs and Drivers'!P30</f>
        <v>0.20657142857142852</v>
      </c>
      <c r="Q209" s="522">
        <f>'Key Inputs and Drivers'!Q30</f>
        <v>0.19571428571428565</v>
      </c>
      <c r="R209" s="522">
        <f>'Key Inputs and Drivers'!R30</f>
        <v>0.17399999999999999</v>
      </c>
      <c r="S209" s="104"/>
      <c r="T209" s="104"/>
      <c r="U209" s="106"/>
    </row>
    <row r="210" spans="1:21" s="119" customFormat="1" outlineLevel="1" x14ac:dyDescent="0.45">
      <c r="A210" s="147"/>
      <c r="B210" s="148" t="s">
        <v>290</v>
      </c>
      <c r="G210" s="120" t="s">
        <v>108</v>
      </c>
      <c r="H210" s="149">
        <f>H208/G208 - 1</f>
        <v>0.20054938346966189</v>
      </c>
      <c r="I210" s="149">
        <f t="shared" ref="I210:R210" si="215">I208/H208 - 1</f>
        <v>0.28772486449657819</v>
      </c>
      <c r="J210" s="149">
        <f t="shared" si="215"/>
        <v>0.20551049900893137</v>
      </c>
      <c r="K210" s="149">
        <f t="shared" si="215"/>
        <v>0.35940519472012045</v>
      </c>
      <c r="L210" s="149">
        <f t="shared" si="215"/>
        <v>0.41879822625931662</v>
      </c>
      <c r="M210" s="149">
        <f t="shared" si="215"/>
        <v>5.9394942517548399E-2</v>
      </c>
      <c r="N210" s="149">
        <f t="shared" si="215"/>
        <v>7.2422601871935388E-2</v>
      </c>
      <c r="O210" s="149">
        <f t="shared" si="215"/>
        <v>8.3108327816548311E-2</v>
      </c>
      <c r="P210" s="149">
        <f t="shared" si="215"/>
        <v>8.5914804611687545E-2</v>
      </c>
      <c r="Q210" s="149">
        <f t="shared" si="215"/>
        <v>8.6475625082432339E-2</v>
      </c>
      <c r="R210" s="149">
        <f t="shared" si="215"/>
        <v>2.6351963623402863E-2</v>
      </c>
      <c r="S210" s="104"/>
      <c r="T210" s="104"/>
      <c r="U210" s="106"/>
    </row>
    <row r="211" spans="1:21" outlineLevel="1" x14ac:dyDescent="0.45"/>
    <row r="212" spans="1:21" outlineLevel="1" x14ac:dyDescent="0.45">
      <c r="B212" s="30" t="s">
        <v>291</v>
      </c>
      <c r="G212" s="546">
        <f>G16</f>
        <v>-233856</v>
      </c>
      <c r="H212" s="546">
        <f>H16</f>
        <v>-314686</v>
      </c>
      <c r="I212" s="546">
        <f>I16</f>
        <v>-707910</v>
      </c>
      <c r="J212" s="546">
        <f>J16</f>
        <v>-473671</v>
      </c>
      <c r="K212" s="546">
        <f>K16</f>
        <v>-478900</v>
      </c>
      <c r="L212" s="546">
        <f>-(L$10)*L213</f>
        <v>-529972.21424400003</v>
      </c>
      <c r="M212" s="546">
        <f t="shared" ref="M212:R212" si="216">-(M$10)*M213</f>
        <v>-565201.32963281288</v>
      </c>
      <c r="N212" s="546">
        <f t="shared" si="216"/>
        <v>-610540.49242294673</v>
      </c>
      <c r="O212" s="546">
        <f t="shared" si="216"/>
        <v>-666530.03348208626</v>
      </c>
      <c r="P212" s="546">
        <f t="shared" si="216"/>
        <v>-730093.41449587082</v>
      </c>
      <c r="Q212" s="546">
        <f t="shared" si="216"/>
        <v>-800831.20815185655</v>
      </c>
      <c r="R212" s="546">
        <f t="shared" si="216"/>
        <v>-882484.73019910417</v>
      </c>
      <c r="S212" s="546">
        <f>$L212*S$205</f>
        <v>-422505.62635563337</v>
      </c>
      <c r="T212" s="546">
        <f>$L212*T$205</f>
        <v>-107466.58788836664</v>
      </c>
    </row>
    <row r="213" spans="1:21" s="119" customFormat="1" outlineLevel="1" x14ac:dyDescent="0.45">
      <c r="A213" s="147"/>
      <c r="B213" s="148" t="s">
        <v>289</v>
      </c>
      <c r="G213" s="149">
        <f>ABS(G212)/G10</f>
        <v>0.48242499757607515</v>
      </c>
      <c r="H213" s="149">
        <f>ABS(H212)/H10</f>
        <v>0.50661918476887191</v>
      </c>
      <c r="I213" s="149">
        <f>ABS(I212)/I10</f>
        <v>0.90290266543203268</v>
      </c>
      <c r="J213" s="149">
        <f>ABS(J212)/J10</f>
        <v>0.54635097788625242</v>
      </c>
      <c r="K213" s="149">
        <f>ABS(K212)/K10</f>
        <v>0.47306427905359483</v>
      </c>
      <c r="L213" s="522">
        <f>'Key Inputs and Drivers'!L35</f>
        <v>0.45</v>
      </c>
      <c r="M213" s="522">
        <f>'Key Inputs and Drivers'!M35</f>
        <v>0.43333333333333335</v>
      </c>
      <c r="N213" s="522">
        <f>'Key Inputs and Drivers'!N35</f>
        <v>0.41666666666666669</v>
      </c>
      <c r="O213" s="522">
        <f>'Key Inputs and Drivers'!O35</f>
        <v>0.4</v>
      </c>
      <c r="P213" s="522">
        <f>'Key Inputs and Drivers'!P35</f>
        <v>0.38333333333333336</v>
      </c>
      <c r="Q213" s="522">
        <f>'Key Inputs and Drivers'!Q35</f>
        <v>0.3666666666666667</v>
      </c>
      <c r="R213" s="522">
        <f>'Key Inputs and Drivers'!R35</f>
        <v>0.35</v>
      </c>
      <c r="S213" s="104"/>
      <c r="T213" s="104"/>
      <c r="U213" s="106"/>
    </row>
    <row r="214" spans="1:21" s="119" customFormat="1" outlineLevel="1" x14ac:dyDescent="0.45">
      <c r="A214" s="147"/>
      <c r="B214" s="148" t="s">
        <v>290</v>
      </c>
      <c r="G214" s="120" t="s">
        <v>108</v>
      </c>
      <c r="H214" s="149">
        <f>H212/G212 - 1</f>
        <v>0.34564005199781067</v>
      </c>
      <c r="I214" s="149">
        <f t="shared" ref="I214:R214" si="217">I212/H212 - 1</f>
        <v>1.2495757675905508</v>
      </c>
      <c r="J214" s="149">
        <f t="shared" si="217"/>
        <v>-0.33088810724527129</v>
      </c>
      <c r="K214" s="149">
        <f t="shared" si="217"/>
        <v>1.1039307874030735E-2</v>
      </c>
      <c r="L214" s="149">
        <f t="shared" si="217"/>
        <v>0.10664484076842773</v>
      </c>
      <c r="M214" s="149">
        <f t="shared" si="217"/>
        <v>6.6473513972929332E-2</v>
      </c>
      <c r="N214" s="149">
        <f t="shared" si="217"/>
        <v>8.0217721390692276E-2</v>
      </c>
      <c r="O214" s="149">
        <f t="shared" si="217"/>
        <v>9.1704877488049119E-2</v>
      </c>
      <c r="P214" s="149">
        <f t="shared" si="217"/>
        <v>9.5364616477545239E-2</v>
      </c>
      <c r="Q214" s="149">
        <f t="shared" si="217"/>
        <v>9.6888688832825753E-2</v>
      </c>
      <c r="R214" s="149">
        <f t="shared" si="217"/>
        <v>0.10196096407841804</v>
      </c>
      <c r="S214" s="104"/>
      <c r="T214" s="104"/>
      <c r="U214" s="106"/>
    </row>
    <row r="215" spans="1:21" outlineLevel="1" x14ac:dyDescent="0.45">
      <c r="B215" s="30"/>
    </row>
    <row r="216" spans="1:21" outlineLevel="1" x14ac:dyDescent="0.45">
      <c r="B216" s="30" t="s">
        <v>181</v>
      </c>
      <c r="G216" s="546">
        <f>G15</f>
        <v>-107645</v>
      </c>
      <c r="H216" s="546">
        <f>H15</f>
        <v>-167906</v>
      </c>
      <c r="I216" s="546">
        <f>I15</f>
        <v>-190371</v>
      </c>
      <c r="J216" s="546">
        <f>J15</f>
        <v>-227297</v>
      </c>
      <c r="K216" s="546">
        <f>K15</f>
        <v>-242188</v>
      </c>
      <c r="L216" s="546">
        <f>-(L$10)*L217</f>
        <v>-282651.84759680001</v>
      </c>
      <c r="M216" s="546">
        <f t="shared" ref="M216:R216" si="218">-(M$10)*M217</f>
        <v>-309307.9803924624</v>
      </c>
      <c r="N216" s="546">
        <f t="shared" si="218"/>
        <v>-343298.19688238832</v>
      </c>
      <c r="O216" s="546">
        <f t="shared" si="218"/>
        <v>-385635.23365749267</v>
      </c>
      <c r="P216" s="546">
        <f t="shared" si="218"/>
        <v>-435335.2036745564</v>
      </c>
      <c r="Q216" s="546">
        <f t="shared" si="218"/>
        <v>-492979.21125192195</v>
      </c>
      <c r="R216" s="546">
        <f t="shared" si="218"/>
        <v>-554704.68755372264</v>
      </c>
      <c r="S216" s="546">
        <f>$L216*S$205</f>
        <v>-225336.3340563378</v>
      </c>
      <c r="T216" s="546">
        <f>$L216*T$205</f>
        <v>-57315.513540462212</v>
      </c>
    </row>
    <row r="217" spans="1:21" s="119" customFormat="1" outlineLevel="1" x14ac:dyDescent="0.45">
      <c r="A217" s="147"/>
      <c r="B217" s="148" t="s">
        <v>289</v>
      </c>
      <c r="G217" s="149">
        <f>ABS(G216)/G10</f>
        <v>0.22206246093355145</v>
      </c>
      <c r="H217" s="149">
        <f>ABS(H216)/H10</f>
        <v>0.27031517397597032</v>
      </c>
      <c r="I217" s="149">
        <f>ABS(I216)/I10</f>
        <v>0.24280838428749627</v>
      </c>
      <c r="J217" s="149">
        <f>ABS(J216)/J10</f>
        <v>0.26217340352398927</v>
      </c>
      <c r="K217" s="149">
        <f>ABS(K216)/K10</f>
        <v>0.23923677514185013</v>
      </c>
      <c r="L217" s="522">
        <f>'Key Inputs and Drivers'!L40</f>
        <v>0.24</v>
      </c>
      <c r="M217" s="522">
        <f>'Key Inputs and Drivers'!M40</f>
        <v>0.23714285714285713</v>
      </c>
      <c r="N217" s="522">
        <f>'Key Inputs and Drivers'!N40</f>
        <v>0.23428571428571426</v>
      </c>
      <c r="O217" s="522">
        <f>'Key Inputs and Drivers'!O40</f>
        <v>0.2314285714285714</v>
      </c>
      <c r="P217" s="522">
        <f>'Key Inputs and Drivers'!P40</f>
        <v>0.22857142857142854</v>
      </c>
      <c r="Q217" s="522">
        <f>'Key Inputs and Drivers'!Q40</f>
        <v>0.22571428571428567</v>
      </c>
      <c r="R217" s="522">
        <f>'Key Inputs and Drivers'!R40</f>
        <v>0.22</v>
      </c>
      <c r="S217" s="104"/>
      <c r="T217" s="104"/>
      <c r="U217" s="106"/>
    </row>
    <row r="218" spans="1:21" s="119" customFormat="1" outlineLevel="1" x14ac:dyDescent="0.45">
      <c r="A218" s="147"/>
      <c r="B218" s="148" t="s">
        <v>290</v>
      </c>
      <c r="G218" s="120" t="s">
        <v>108</v>
      </c>
      <c r="H218" s="149">
        <f>H216/G216 - 1</f>
        <v>0.55981234613776776</v>
      </c>
      <c r="I218" s="149">
        <f t="shared" ref="I218:R218" si="219">I216/H216 - 1</f>
        <v>0.13379509963908376</v>
      </c>
      <c r="J218" s="149">
        <f t="shared" si="219"/>
        <v>0.19396861916993657</v>
      </c>
      <c r="K218" s="149">
        <f t="shared" si="219"/>
        <v>6.5513403168541595E-2</v>
      </c>
      <c r="L218" s="149">
        <f t="shared" si="219"/>
        <v>0.16707618708111061</v>
      </c>
      <c r="M218" s="149">
        <f t="shared" si="219"/>
        <v>9.4307300738706301E-2</v>
      </c>
      <c r="N218" s="149">
        <f t="shared" si="219"/>
        <v>0.1098911720505813</v>
      </c>
      <c r="O218" s="149">
        <f t="shared" si="219"/>
        <v>0.12332437851285527</v>
      </c>
      <c r="P218" s="149">
        <f t="shared" si="219"/>
        <v>0.12887818767412074</v>
      </c>
      <c r="Q218" s="149">
        <f t="shared" si="219"/>
        <v>0.13241292477797972</v>
      </c>
      <c r="R218" s="149">
        <f t="shared" si="219"/>
        <v>0.12520908568344846</v>
      </c>
      <c r="S218" s="104"/>
      <c r="T218" s="104"/>
      <c r="U218" s="106"/>
    </row>
    <row r="219" spans="1:21" outlineLevel="1" x14ac:dyDescent="0.45"/>
    <row r="220" spans="1:21" outlineLevel="1" x14ac:dyDescent="0.45">
      <c r="B220" s="30" t="s">
        <v>140</v>
      </c>
      <c r="G220" s="546">
        <f>G25</f>
        <v>3815</v>
      </c>
      <c r="H220" s="546">
        <f>H25</f>
        <v>-7678</v>
      </c>
      <c r="I220" s="546">
        <f>I25</f>
        <v>6631</v>
      </c>
      <c r="J220" s="546">
        <f>J25</f>
        <v>5030</v>
      </c>
      <c r="K220" s="546">
        <f>K25</f>
        <v>3362</v>
      </c>
      <c r="L220" s="546">
        <f>(L$10)*L221</f>
        <v>3533.1480949600004</v>
      </c>
      <c r="M220" s="546">
        <f t="shared" ref="M220:R220" si="220">(M$10)*M221</f>
        <v>3912.9322820733196</v>
      </c>
      <c r="N220" s="546">
        <f t="shared" si="220"/>
        <v>4395.8915454452163</v>
      </c>
      <c r="O220" s="546">
        <f t="shared" si="220"/>
        <v>4998.9752511156466</v>
      </c>
      <c r="P220" s="546">
        <f t="shared" si="220"/>
        <v>5713.7745482285536</v>
      </c>
      <c r="Q220" s="546">
        <f t="shared" si="220"/>
        <v>6552.2553394242805</v>
      </c>
      <c r="R220" s="546">
        <f t="shared" si="220"/>
        <v>7564.1548302780366</v>
      </c>
      <c r="S220" s="546">
        <f>$L220*S$205</f>
        <v>2816.704175704223</v>
      </c>
      <c r="T220" s="546">
        <f>$L220*T$205</f>
        <v>716.4439192557777</v>
      </c>
    </row>
    <row r="221" spans="1:21" s="119" customFormat="1" outlineLevel="1" x14ac:dyDescent="0.45">
      <c r="A221" s="147"/>
      <c r="B221" s="148" t="s">
        <v>289</v>
      </c>
      <c r="G221" s="149">
        <f>G220/G10</f>
        <v>7.8700198658692815E-3</v>
      </c>
      <c r="H221" s="149">
        <f>H220/H10</f>
        <v>-1.2360963311540388E-2</v>
      </c>
      <c r="I221" s="149">
        <f>I220/I10</f>
        <v>8.4574982335039878E-3</v>
      </c>
      <c r="J221" s="149">
        <f>J220/J10</f>
        <v>5.8018021343249843E-3</v>
      </c>
      <c r="K221" s="149">
        <f>K220/K10</f>
        <v>3.321031752303583E-3</v>
      </c>
      <c r="L221" s="522">
        <f>'Key Inputs and Drivers'!L45</f>
        <v>3.0000000000000001E-3</v>
      </c>
      <c r="M221" s="522">
        <f>'Key Inputs and Drivers'!M45</f>
        <v>3.0000000000000001E-3</v>
      </c>
      <c r="N221" s="522">
        <f>'Key Inputs and Drivers'!N45</f>
        <v>3.0000000000000001E-3</v>
      </c>
      <c r="O221" s="522">
        <f>'Key Inputs and Drivers'!O45</f>
        <v>3.0000000000000001E-3</v>
      </c>
      <c r="P221" s="522">
        <f>'Key Inputs and Drivers'!P45</f>
        <v>3.0000000000000001E-3</v>
      </c>
      <c r="Q221" s="522">
        <f>'Key Inputs and Drivers'!Q45</f>
        <v>3.0000000000000001E-3</v>
      </c>
      <c r="R221" s="522">
        <f>'Key Inputs and Drivers'!R45</f>
        <v>3.0000000000000001E-3</v>
      </c>
      <c r="S221" s="104"/>
      <c r="T221" s="104"/>
      <c r="U221" s="106"/>
    </row>
    <row r="222" spans="1:21" s="119" customFormat="1" outlineLevel="1" x14ac:dyDescent="0.45">
      <c r="A222" s="147"/>
      <c r="B222" s="148" t="s">
        <v>290</v>
      </c>
      <c r="G222" s="120" t="s">
        <v>108</v>
      </c>
      <c r="H222" s="149">
        <f>H220/G220 - 1</f>
        <v>-3.0125819134993446</v>
      </c>
      <c r="I222" s="149">
        <f t="shared" ref="I222:R222" si="221">I220/H220 - 1</f>
        <v>-1.8636363636363638</v>
      </c>
      <c r="J222" s="149">
        <f t="shared" si="221"/>
        <v>-0.24144171316543506</v>
      </c>
      <c r="K222" s="149">
        <f t="shared" si="221"/>
        <v>-0.33161033797216699</v>
      </c>
      <c r="L222" s="149">
        <f t="shared" si="221"/>
        <v>5.0906631457465989E-2</v>
      </c>
      <c r="M222" s="149">
        <f t="shared" si="221"/>
        <v>0.10749172604881108</v>
      </c>
      <c r="N222" s="149">
        <f t="shared" si="221"/>
        <v>0.12342643024632016</v>
      </c>
      <c r="O222" s="149">
        <f t="shared" si="221"/>
        <v>0.1371925807167178</v>
      </c>
      <c r="P222" s="149">
        <f t="shared" si="221"/>
        <v>0.14298916502004722</v>
      </c>
      <c r="Q222" s="149">
        <f t="shared" si="221"/>
        <v>0.14674726559795426</v>
      </c>
      <c r="R222" s="149">
        <f t="shared" si="221"/>
        <v>0.15443529570120007</v>
      </c>
      <c r="S222" s="104"/>
      <c r="T222" s="104"/>
      <c r="U222" s="106"/>
    </row>
    <row r="223" spans="1:21" outlineLevel="1" x14ac:dyDescent="0.45"/>
    <row r="224" spans="1:21" outlineLevel="1" x14ac:dyDescent="0.45">
      <c r="B224" s="30" t="s">
        <v>142</v>
      </c>
      <c r="G224" s="546">
        <f>G28</f>
        <v>-5923</v>
      </c>
      <c r="H224" s="546">
        <f>H28</f>
        <v>8089</v>
      </c>
      <c r="I224" s="546">
        <f>I28</f>
        <v>-3825</v>
      </c>
      <c r="J224" s="546">
        <f>J28</f>
        <v>-27230</v>
      </c>
      <c r="K224" s="546">
        <f>K28</f>
        <v>-57403</v>
      </c>
      <c r="L224" s="546">
        <f t="shared" ref="L224:R224" ca="1" si="222">-L26*L225</f>
        <v>10280.963578651332</v>
      </c>
      <c r="M224" s="546">
        <f t="shared" ca="1" si="222"/>
        <v>14952.06557543869</v>
      </c>
      <c r="N224" s="546">
        <f t="shared" ca="1" si="222"/>
        <v>8765.9737348069284</v>
      </c>
      <c r="O224" s="546">
        <f t="shared" ca="1" si="222"/>
        <v>283.14112146516408</v>
      </c>
      <c r="P224" s="546">
        <f t="shared" ca="1" si="222"/>
        <v>-10859.224290992041</v>
      </c>
      <c r="Q224" s="546">
        <f t="shared" ca="1" si="222"/>
        <v>-24763.073053353768</v>
      </c>
      <c r="R224" s="546">
        <f t="shared" ca="1" si="222"/>
        <v>-44632.019381153761</v>
      </c>
      <c r="S224" s="546">
        <f ca="1">$L224*S$205</f>
        <v>8196.2126307581457</v>
      </c>
      <c r="T224" s="546">
        <f ca="1">$L224*T$205</f>
        <v>2084.7509478931861</v>
      </c>
    </row>
    <row r="225" spans="1:20" s="119" customFormat="1" outlineLevel="1" x14ac:dyDescent="0.45">
      <c r="A225" s="147"/>
      <c r="B225" s="148" t="s">
        <v>143</v>
      </c>
      <c r="G225" s="149">
        <f>G224/G26</f>
        <v>-9.2438548575887639E-2</v>
      </c>
      <c r="H225" s="149">
        <f>H224/H26</f>
        <v>0.35952709009289302</v>
      </c>
      <c r="I225" s="149">
        <f>I224/I26</f>
        <v>1.5591625768371623E-2</v>
      </c>
      <c r="J225" s="149">
        <f>J224/J26</f>
        <v>0.12102706330475441</v>
      </c>
      <c r="K225" s="149">
        <f>K224/K26</f>
        <v>-1.1407138031079846</v>
      </c>
      <c r="L225" s="522">
        <f>'Key Inputs and Drivers'!L47</f>
        <v>0.1</v>
      </c>
      <c r="M225" s="522">
        <f>'Key Inputs and Drivers'!M47</f>
        <v>0.1</v>
      </c>
      <c r="N225" s="522">
        <f>'Key Inputs and Drivers'!N47</f>
        <v>0.1</v>
      </c>
      <c r="O225" s="522">
        <f>'Key Inputs and Drivers'!O47</f>
        <v>0.1</v>
      </c>
      <c r="P225" s="522">
        <f>'Key Inputs and Drivers'!P47</f>
        <v>0.1</v>
      </c>
      <c r="Q225" s="522">
        <f>'Key Inputs and Drivers'!Q47</f>
        <v>0.1</v>
      </c>
      <c r="R225" s="522">
        <f>'Key Inputs and Drivers'!R47</f>
        <v>0.1</v>
      </c>
      <c r="S225" s="104"/>
      <c r="T225" s="104"/>
    </row>
    <row r="226" spans="1:20" s="119" customFormat="1" outlineLevel="1" x14ac:dyDescent="0.45">
      <c r="A226" s="147"/>
      <c r="B226" s="148" t="s">
        <v>290</v>
      </c>
      <c r="G226" s="120" t="s">
        <v>108</v>
      </c>
      <c r="H226" s="149">
        <f>H224/G224 - 1</f>
        <v>-2.3656930609488436</v>
      </c>
      <c r="I226" s="149">
        <f t="shared" ref="I226:R226" si="223">I224/H224 - 1</f>
        <v>-1.4728643837309927</v>
      </c>
      <c r="J226" s="149">
        <f t="shared" si="223"/>
        <v>6.1189542483660126</v>
      </c>
      <c r="K226" s="149">
        <f t="shared" si="223"/>
        <v>1.1080793242746969</v>
      </c>
      <c r="L226" s="149">
        <f t="shared" ca="1" si="223"/>
        <v>-1.1791015030338368</v>
      </c>
      <c r="M226" s="149">
        <f t="shared" ca="1" si="223"/>
        <v>0.4543447665243181</v>
      </c>
      <c r="N226" s="149">
        <f t="shared" ca="1" si="223"/>
        <v>-0.4137282443967788</v>
      </c>
      <c r="O226" s="149">
        <f t="shared" ca="1" si="223"/>
        <v>-0.96769998062612261</v>
      </c>
      <c r="P226" s="149">
        <f t="shared" ca="1" si="223"/>
        <v>-39.352692236292114</v>
      </c>
      <c r="Q226" s="149">
        <f t="shared" ca="1" si="223"/>
        <v>1.2803721877165084</v>
      </c>
      <c r="R226" s="149">
        <f t="shared" ca="1" si="223"/>
        <v>0.80236189930833546</v>
      </c>
      <c r="S226" s="104"/>
      <c r="T226" s="104"/>
    </row>
    <row r="227" spans="1:20" s="119" customFormat="1" x14ac:dyDescent="0.45">
      <c r="A227" s="147"/>
      <c r="B227" s="148"/>
      <c r="G227" s="120"/>
      <c r="H227" s="149"/>
      <c r="I227" s="149"/>
      <c r="J227" s="149"/>
      <c r="K227" s="149"/>
    </row>
    <row r="228" spans="1:20" ht="15" customHeight="1" x14ac:dyDescent="0.45">
      <c r="A228" s="107" t="s">
        <v>18</v>
      </c>
      <c r="B228" s="108" t="s">
        <v>292</v>
      </c>
      <c r="C228" s="109"/>
      <c r="D228" s="109"/>
      <c r="E228" s="109"/>
      <c r="F228" s="109"/>
      <c r="G228" s="109"/>
      <c r="H228" s="109"/>
      <c r="I228" s="109"/>
      <c r="J228" s="109"/>
      <c r="K228" s="109"/>
      <c r="L228" s="109"/>
      <c r="M228" s="109"/>
      <c r="N228" s="109"/>
      <c r="O228" s="109"/>
      <c r="P228" s="109"/>
      <c r="Q228" s="109"/>
      <c r="R228" s="109"/>
      <c r="S228" s="109"/>
      <c r="T228" s="109"/>
    </row>
    <row r="229" spans="1:20" outlineLevel="1" x14ac:dyDescent="0.45">
      <c r="B229" s="616" t="s">
        <v>21</v>
      </c>
      <c r="C229" s="616"/>
      <c r="F229" s="3"/>
      <c r="G229" s="3"/>
      <c r="H229" s="3"/>
      <c r="I229" s="3"/>
      <c r="J229" s="3"/>
      <c r="K229" s="3"/>
      <c r="L229" s="3"/>
      <c r="M229" s="3"/>
      <c r="N229" s="3"/>
      <c r="O229" s="3"/>
      <c r="P229" s="3"/>
      <c r="Q229" s="3"/>
      <c r="R229" s="3"/>
      <c r="S229" s="615" t="s">
        <v>176</v>
      </c>
      <c r="T229" s="615"/>
    </row>
    <row r="230" spans="1:20" ht="14.65" outlineLevel="1" thickBot="1" x14ac:dyDescent="0.5">
      <c r="A230" s="111"/>
      <c r="B230" s="291"/>
      <c r="C230" s="291"/>
      <c r="D230" s="122"/>
      <c r="E230" s="122"/>
      <c r="F230" s="3"/>
      <c r="G230" s="517" t="s">
        <v>112</v>
      </c>
      <c r="H230" s="427" t="s">
        <v>113</v>
      </c>
      <c r="I230" s="427" t="s">
        <v>114</v>
      </c>
      <c r="J230" s="427" t="s">
        <v>115</v>
      </c>
      <c r="K230" s="427" t="s">
        <v>116</v>
      </c>
      <c r="L230" s="101" t="s">
        <v>117</v>
      </c>
      <c r="M230" s="102">
        <v>2025</v>
      </c>
      <c r="N230" s="102">
        <f>M230+1</f>
        <v>2026</v>
      </c>
      <c r="O230" s="102">
        <f t="shared" ref="O230" si="224">N230+1</f>
        <v>2027</v>
      </c>
      <c r="P230" s="102">
        <f t="shared" ref="P230" si="225">O230+1</f>
        <v>2028</v>
      </c>
      <c r="Q230" s="102">
        <f>P230+1</f>
        <v>2029</v>
      </c>
      <c r="R230" s="102">
        <f>Q230+1</f>
        <v>2030</v>
      </c>
      <c r="S230" s="284">
        <v>45582</v>
      </c>
      <c r="T230" s="284">
        <v>45657</v>
      </c>
    </row>
    <row r="231" spans="1:20" outlineLevel="1" x14ac:dyDescent="0.45">
      <c r="A231" s="111"/>
      <c r="B231" s="291"/>
      <c r="C231" s="291"/>
      <c r="D231" s="122"/>
      <c r="E231" s="122"/>
      <c r="F231" s="64" t="s">
        <v>119</v>
      </c>
      <c r="G231" s="425">
        <v>43830</v>
      </c>
      <c r="H231" s="425">
        <v>44196</v>
      </c>
      <c r="I231" s="425">
        <v>44561</v>
      </c>
      <c r="J231" s="425">
        <v>44926</v>
      </c>
      <c r="K231" s="425">
        <v>45291</v>
      </c>
      <c r="L231" s="425">
        <v>45657</v>
      </c>
      <c r="M231" s="425">
        <v>46022</v>
      </c>
      <c r="N231" s="425">
        <v>46387</v>
      </c>
      <c r="O231" s="425">
        <v>46752</v>
      </c>
      <c r="P231" s="425">
        <v>47118</v>
      </c>
      <c r="Q231" s="425">
        <v>47483</v>
      </c>
      <c r="R231" s="425">
        <v>47848</v>
      </c>
      <c r="S231" s="425">
        <v>45582</v>
      </c>
      <c r="T231" s="425">
        <v>45657</v>
      </c>
    </row>
    <row r="232" spans="1:20" outlineLevel="1" x14ac:dyDescent="0.45">
      <c r="A232" s="111"/>
      <c r="B232" s="291"/>
      <c r="C232" s="291"/>
      <c r="D232" s="122"/>
      <c r="E232" s="122"/>
      <c r="F232" s="64" t="s">
        <v>120</v>
      </c>
      <c r="G232" s="418">
        <v>365</v>
      </c>
      <c r="H232" s="288">
        <f>G232</f>
        <v>365</v>
      </c>
      <c r="I232" s="288">
        <f t="shared" ref="I232" si="226">H232</f>
        <v>365</v>
      </c>
      <c r="J232" s="288">
        <f t="shared" ref="J232" si="227">I232</f>
        <v>365</v>
      </c>
      <c r="K232" s="288">
        <f t="shared" ref="K232" si="228">J232</f>
        <v>365</v>
      </c>
      <c r="L232" s="288">
        <f t="shared" ref="L232" si="229">K232</f>
        <v>365</v>
      </c>
      <c r="M232" s="288">
        <f t="shared" ref="M232" si="230">L232</f>
        <v>365</v>
      </c>
      <c r="N232" s="288">
        <f t="shared" ref="N232" si="231">M232</f>
        <v>365</v>
      </c>
      <c r="O232" s="288">
        <f t="shared" ref="O232" si="232">N232</f>
        <v>365</v>
      </c>
      <c r="P232" s="288">
        <f t="shared" ref="P232" si="233">O232</f>
        <v>365</v>
      </c>
      <c r="Q232" s="288">
        <f t="shared" ref="Q232" si="234">P232</f>
        <v>365</v>
      </c>
      <c r="R232" s="288">
        <f t="shared" ref="R232" si="235">Q232</f>
        <v>365</v>
      </c>
      <c r="S232" s="288">
        <f>_xlfn.DAYS(S231,K231)</f>
        <v>291</v>
      </c>
      <c r="T232" s="288">
        <f>_xlfn.DAYS(T231,S231)</f>
        <v>75</v>
      </c>
    </row>
    <row r="233" spans="1:20" outlineLevel="1" x14ac:dyDescent="0.45">
      <c r="A233" s="111"/>
      <c r="B233" s="291"/>
      <c r="C233" s="291"/>
      <c r="D233" s="122"/>
      <c r="E233" s="122"/>
      <c r="F233" s="64" t="s">
        <v>122</v>
      </c>
      <c r="G233" s="439">
        <v>1</v>
      </c>
      <c r="H233" s="440">
        <f>YEARFRAC(G231,H231)</f>
        <v>1</v>
      </c>
      <c r="I233" s="440">
        <f t="shared" ref="I233" si="236">YEARFRAC(H231,I231)</f>
        <v>1</v>
      </c>
      <c r="J233" s="440">
        <f t="shared" ref="J233" si="237">YEARFRAC(I231,J231)</f>
        <v>1</v>
      </c>
      <c r="K233" s="440">
        <f t="shared" ref="K233" si="238">YEARFRAC(J231,K231)</f>
        <v>1</v>
      </c>
      <c r="L233" s="440">
        <f t="shared" ref="L233" si="239">YEARFRAC(K231,L231)</f>
        <v>1</v>
      </c>
      <c r="M233" s="440">
        <f t="shared" ref="M233" si="240">YEARFRAC(L231,M231)</f>
        <v>1</v>
      </c>
      <c r="N233" s="440">
        <f t="shared" ref="N233" si="241">YEARFRAC(M231,N231)</f>
        <v>1</v>
      </c>
      <c r="O233" s="440">
        <f t="shared" ref="O233" si="242">YEARFRAC(N231,O231)</f>
        <v>1</v>
      </c>
      <c r="P233" s="440">
        <f t="shared" ref="P233" si="243">YEARFRAC(O231,P231)</f>
        <v>1</v>
      </c>
      <c r="Q233" s="440">
        <f t="shared" ref="Q233" si="244">YEARFRAC(P231,Q231)</f>
        <v>1</v>
      </c>
      <c r="R233" s="440">
        <f t="shared" ref="R233" si="245">YEARFRAC(Q231,R231)</f>
        <v>1</v>
      </c>
      <c r="S233" s="590">
        <f>'Transaction Details'!$H$30</f>
        <v>0.79722222222222228</v>
      </c>
      <c r="T233" s="590">
        <f>'Transaction Details'!$H$31</f>
        <v>0.20277777777777772</v>
      </c>
    </row>
    <row r="234" spans="1:20" outlineLevel="1" x14ac:dyDescent="0.45">
      <c r="A234" s="111"/>
      <c r="B234" s="124"/>
      <c r="C234" s="122"/>
      <c r="D234" s="122"/>
      <c r="E234" s="122"/>
      <c r="F234" s="64" t="s">
        <v>123</v>
      </c>
      <c r="G234" s="426" t="s">
        <v>124</v>
      </c>
      <c r="H234" s="426" t="s">
        <v>124</v>
      </c>
      <c r="I234" s="426" t="s">
        <v>124</v>
      </c>
      <c r="J234" s="426" t="s">
        <v>124</v>
      </c>
      <c r="K234" s="426" t="s">
        <v>124</v>
      </c>
      <c r="L234" s="426" t="s">
        <v>124</v>
      </c>
      <c r="M234" s="426" t="s">
        <v>124</v>
      </c>
      <c r="N234" s="426" t="s">
        <v>124</v>
      </c>
      <c r="O234" s="426" t="s">
        <v>124</v>
      </c>
      <c r="P234" s="426" t="s">
        <v>124</v>
      </c>
      <c r="Q234" s="426" t="s">
        <v>124</v>
      </c>
      <c r="R234" s="426" t="s">
        <v>124</v>
      </c>
      <c r="S234" s="426" t="s">
        <v>124</v>
      </c>
      <c r="T234" s="426" t="s">
        <v>124</v>
      </c>
    </row>
    <row r="235" spans="1:20" outlineLevel="1" x14ac:dyDescent="0.45">
      <c r="A235" s="111"/>
      <c r="B235" s="124"/>
      <c r="C235" s="122"/>
      <c r="D235" s="122"/>
      <c r="E235" s="122"/>
      <c r="F235" s="64"/>
      <c r="G235" s="103"/>
      <c r="H235" s="103"/>
      <c r="I235" s="103"/>
      <c r="J235" s="103"/>
      <c r="K235" s="103"/>
      <c r="L235" s="103"/>
      <c r="M235" s="103"/>
      <c r="N235" s="103"/>
      <c r="O235" s="103"/>
      <c r="P235" s="103"/>
      <c r="Q235" s="103"/>
      <c r="R235" s="103"/>
      <c r="S235" s="103"/>
      <c r="T235" s="103"/>
    </row>
    <row r="236" spans="1:20" s="3" customFormat="1" outlineLevel="1" x14ac:dyDescent="0.45">
      <c r="B236" s="64" t="s">
        <v>293</v>
      </c>
      <c r="G236" s="546">
        <f>-G31</f>
        <v>-18309</v>
      </c>
      <c r="H236" s="546">
        <f>-H31</f>
        <v>-21703</v>
      </c>
      <c r="I236" s="546">
        <f>-I31</f>
        <v>-32720</v>
      </c>
      <c r="J236" s="546">
        <f>-J31</f>
        <v>-31617</v>
      </c>
      <c r="K236" s="546">
        <f>-K31</f>
        <v>-43927</v>
      </c>
      <c r="L236" s="546">
        <f>L257+L372</f>
        <v>-62579.209237984003</v>
      </c>
      <c r="M236" s="546">
        <f t="shared" ref="M236:R236" si="246">M257+M372</f>
        <v>-81720.764301626652</v>
      </c>
      <c r="N236" s="546">
        <f t="shared" si="246"/>
        <v>-76466.477537982835</v>
      </c>
      <c r="O236" s="546">
        <f t="shared" si="246"/>
        <v>-63596.65773887535</v>
      </c>
      <c r="P236" s="546">
        <f t="shared" si="246"/>
        <v>-68386.08588877233</v>
      </c>
      <c r="Q236" s="546">
        <f t="shared" si="246"/>
        <v>-60831.108823674949</v>
      </c>
      <c r="R236" s="546">
        <f t="shared" si="246"/>
        <v>-65838.984079344489</v>
      </c>
      <c r="S236" s="546">
        <f>$L$236*S233</f>
        <v>-49889.536253615028</v>
      </c>
      <c r="T236" s="546">
        <f>$L$236*T233</f>
        <v>-12689.672984368975</v>
      </c>
    </row>
    <row r="237" spans="1:20" s="3" customFormat="1" outlineLevel="1" x14ac:dyDescent="0.45"/>
    <row r="238" spans="1:20" s="3" customFormat="1" outlineLevel="1" x14ac:dyDescent="0.45">
      <c r="A238" s="1" t="s">
        <v>148</v>
      </c>
      <c r="B238" s="176" t="s">
        <v>294</v>
      </c>
      <c r="D238" s="175"/>
      <c r="E238" s="175"/>
      <c r="F238" s="175"/>
      <c r="G238" s="175"/>
      <c r="H238" s="175"/>
      <c r="I238" s="175"/>
      <c r="J238" s="175"/>
      <c r="K238" s="175"/>
      <c r="L238" s="175"/>
      <c r="M238" s="175"/>
      <c r="N238" s="175"/>
      <c r="O238" s="175"/>
      <c r="P238" s="175"/>
      <c r="Q238" s="175"/>
      <c r="R238" s="175"/>
    </row>
    <row r="239" spans="1:20" s="3" customFormat="1" outlineLevel="1" x14ac:dyDescent="0.45"/>
    <row r="240" spans="1:20" s="3" customFormat="1" outlineLevel="1" x14ac:dyDescent="0.45">
      <c r="B240" s="3" t="s">
        <v>295</v>
      </c>
      <c r="G240" s="546">
        <f t="shared" ref="G240:T240" si="247">G10</f>
        <v>484751</v>
      </c>
      <c r="H240" s="546">
        <f t="shared" si="247"/>
        <v>621149</v>
      </c>
      <c r="I240" s="546">
        <f t="shared" si="247"/>
        <v>784038</v>
      </c>
      <c r="J240" s="546">
        <f t="shared" si="247"/>
        <v>866972</v>
      </c>
      <c r="K240" s="546">
        <f t="shared" si="247"/>
        <v>1012336</v>
      </c>
      <c r="L240" s="546">
        <f t="shared" si="247"/>
        <v>1177716.0316533335</v>
      </c>
      <c r="M240" s="546">
        <f t="shared" si="247"/>
        <v>1304310.7606911066</v>
      </c>
      <c r="N240" s="546">
        <f t="shared" si="247"/>
        <v>1465297.1818150722</v>
      </c>
      <c r="O240" s="546">
        <f t="shared" si="247"/>
        <v>1666325.0837052155</v>
      </c>
      <c r="P240" s="546">
        <f t="shared" si="247"/>
        <v>1904591.5160761846</v>
      </c>
      <c r="Q240" s="546">
        <f t="shared" si="247"/>
        <v>2184085.1131414268</v>
      </c>
      <c r="R240" s="546">
        <f t="shared" si="247"/>
        <v>2521384.9434260121</v>
      </c>
      <c r="S240" s="546">
        <f t="shared" si="247"/>
        <v>938901.39190140751</v>
      </c>
      <c r="T240" s="546">
        <f t="shared" si="247"/>
        <v>238814.63975192586</v>
      </c>
    </row>
    <row r="241" spans="1:25" s="3" customFormat="1" outlineLevel="1" x14ac:dyDescent="0.45">
      <c r="G241" s="158"/>
      <c r="H241" s="158"/>
      <c r="I241" s="158"/>
      <c r="J241" s="158"/>
      <c r="K241" s="158"/>
      <c r="L241" s="158"/>
      <c r="M241" s="158"/>
    </row>
    <row r="242" spans="1:25" s="3" customFormat="1" outlineLevel="1" x14ac:dyDescent="0.45">
      <c r="B242" s="3" t="s">
        <v>296</v>
      </c>
      <c r="G242" s="546">
        <f>G54</f>
        <v>60137</v>
      </c>
      <c r="H242" s="546">
        <f>H54</f>
        <v>49249</v>
      </c>
      <c r="I242" s="546">
        <f>I54</f>
        <v>52839</v>
      </c>
      <c r="J242" s="546">
        <f>J54</f>
        <v>51633</v>
      </c>
      <c r="K242" s="546">
        <f>K54</f>
        <v>58211</v>
      </c>
      <c r="L242" s="546">
        <f>L247</f>
        <v>70360.111395082669</v>
      </c>
      <c r="M242" s="546">
        <f t="shared" ref="M242:T242" si="248">M247</f>
        <v>70505.562307278145</v>
      </c>
      <c r="N242" s="546">
        <f t="shared" si="248"/>
        <v>70354.028405596764</v>
      </c>
      <c r="O242" s="546">
        <f t="shared" si="248"/>
        <v>70223.872340825721</v>
      </c>
      <c r="P242" s="546">
        <f t="shared" si="248"/>
        <v>70069.616773577087</v>
      </c>
      <c r="Q242" s="546">
        <f t="shared" si="248"/>
        <v>83060.210212730672</v>
      </c>
      <c r="R242" s="546">
        <f t="shared" si="248"/>
        <v>97788.925001906435</v>
      </c>
      <c r="S242" s="546">
        <f t="shared" si="248"/>
        <v>67896.54158441312</v>
      </c>
      <c r="T242" s="546">
        <f t="shared" si="248"/>
        <v>70360.111395082669</v>
      </c>
    </row>
    <row r="243" spans="1:25" s="3" customFormat="1" outlineLevel="1" x14ac:dyDescent="0.45">
      <c r="E243" s="174"/>
      <c r="G243" s="158"/>
      <c r="H243" s="158"/>
      <c r="I243" s="158"/>
      <c r="J243" s="158"/>
      <c r="K243" s="158"/>
      <c r="L243" s="158"/>
      <c r="M243" s="158"/>
    </row>
    <row r="244" spans="1:25" s="3" customFormat="1" outlineLevel="1" x14ac:dyDescent="0.45">
      <c r="B244" s="3" t="s">
        <v>297</v>
      </c>
      <c r="G244" s="160"/>
      <c r="H244" s="160"/>
      <c r="I244" s="160"/>
      <c r="J244" s="160"/>
      <c r="K244" s="160"/>
      <c r="L244" s="546">
        <f>K247</f>
        <v>58211</v>
      </c>
      <c r="M244" s="546">
        <f t="shared" ref="M244:R244" si="249">L247</f>
        <v>70360.111395082669</v>
      </c>
      <c r="N244" s="546">
        <f t="shared" si="249"/>
        <v>70505.562307278145</v>
      </c>
      <c r="O244" s="546">
        <f t="shared" si="249"/>
        <v>70354.028405596764</v>
      </c>
      <c r="P244" s="546">
        <f t="shared" si="249"/>
        <v>70223.872340825721</v>
      </c>
      <c r="Q244" s="546">
        <f t="shared" si="249"/>
        <v>70069.616773577087</v>
      </c>
      <c r="R244" s="546">
        <f t="shared" si="249"/>
        <v>83060.210212730672</v>
      </c>
      <c r="S244" s="546">
        <f>K247</f>
        <v>58211</v>
      </c>
      <c r="T244" s="546">
        <f>S247</f>
        <v>67896.54158441312</v>
      </c>
      <c r="U244" s="174"/>
    </row>
    <row r="245" spans="1:25" s="3" customFormat="1" outlineLevel="1" x14ac:dyDescent="0.45">
      <c r="B245" s="57" t="s">
        <v>298</v>
      </c>
      <c r="E245" s="157"/>
      <c r="G245" s="160"/>
      <c r="H245" s="160"/>
      <c r="I245" s="160"/>
      <c r="J245" s="160"/>
      <c r="K245" s="160"/>
      <c r="L245" s="546">
        <f>L257</f>
        <v>-11405.209237984</v>
      </c>
      <c r="M245" s="546">
        <f t="shared" ref="M245:R245" si="250">M257</f>
        <v>-25940.764301626656</v>
      </c>
      <c r="N245" s="546">
        <f t="shared" si="250"/>
        <v>-29457.477537982828</v>
      </c>
      <c r="O245" s="546">
        <f t="shared" si="250"/>
        <v>-33456.65773887535</v>
      </c>
      <c r="P245" s="546">
        <f t="shared" si="250"/>
        <v>-38246.08588877233</v>
      </c>
      <c r="Q245" s="546">
        <f t="shared" si="250"/>
        <v>-30691.108823674946</v>
      </c>
      <c r="R245" s="546">
        <f t="shared" si="250"/>
        <v>-35698.984079344489</v>
      </c>
      <c r="S245" s="546">
        <f>L245*S233</f>
        <v>-9092.4862536150231</v>
      </c>
      <c r="T245" s="546">
        <f>L245*T233</f>
        <v>-2312.722984368977</v>
      </c>
      <c r="U245" s="174"/>
    </row>
    <row r="246" spans="1:25" s="3" customFormat="1" outlineLevel="1" x14ac:dyDescent="0.45">
      <c r="B246" s="57" t="s">
        <v>299</v>
      </c>
      <c r="E246" s="174"/>
      <c r="G246" s="160"/>
      <c r="H246" s="160"/>
      <c r="I246" s="160"/>
      <c r="J246" s="160"/>
      <c r="K246" s="160"/>
      <c r="L246" s="552">
        <f>ABS(L260)</f>
        <v>23554.320633066669</v>
      </c>
      <c r="M246" s="552">
        <f t="shared" ref="M246:R246" si="251">ABS(M260)</f>
        <v>26086.215213822132</v>
      </c>
      <c r="N246" s="552">
        <f t="shared" si="251"/>
        <v>29305.943636301443</v>
      </c>
      <c r="O246" s="552">
        <f t="shared" si="251"/>
        <v>33326.501674104307</v>
      </c>
      <c r="P246" s="552">
        <f t="shared" si="251"/>
        <v>38091.830321523696</v>
      </c>
      <c r="Q246" s="552">
        <f t="shared" si="251"/>
        <v>43681.702262828534</v>
      </c>
      <c r="R246" s="552">
        <f t="shared" si="251"/>
        <v>50427.698868520245</v>
      </c>
      <c r="S246" s="552">
        <f>ABS(S260)</f>
        <v>18778.027838028152</v>
      </c>
      <c r="T246" s="552">
        <f>ABS(T260)</f>
        <v>4776.2927950385174</v>
      </c>
      <c r="U246" s="174"/>
    </row>
    <row r="247" spans="1:25" s="3" customFormat="1" outlineLevel="1" x14ac:dyDescent="0.45">
      <c r="B247" s="64" t="s">
        <v>300</v>
      </c>
      <c r="G247" s="160"/>
      <c r="H247" s="160"/>
      <c r="I247" s="160"/>
      <c r="J247" s="160"/>
      <c r="K247" s="546">
        <f>K242</f>
        <v>58211</v>
      </c>
      <c r="L247" s="546">
        <f>SUM(L244:L246)</f>
        <v>70360.111395082669</v>
      </c>
      <c r="M247" s="546">
        <f t="shared" ref="M247:R247" si="252">SUM(M244:M246)</f>
        <v>70505.562307278145</v>
      </c>
      <c r="N247" s="546">
        <f t="shared" si="252"/>
        <v>70354.028405596764</v>
      </c>
      <c r="O247" s="546">
        <f t="shared" si="252"/>
        <v>70223.872340825721</v>
      </c>
      <c r="P247" s="546">
        <f t="shared" si="252"/>
        <v>70069.616773577087</v>
      </c>
      <c r="Q247" s="546">
        <f t="shared" si="252"/>
        <v>83060.210212730672</v>
      </c>
      <c r="R247" s="546">
        <f t="shared" si="252"/>
        <v>97788.925001906435</v>
      </c>
      <c r="S247" s="546">
        <f>SUM(S244:S246)</f>
        <v>67896.54158441312</v>
      </c>
      <c r="T247" s="546">
        <f>SUM(T244:T246)</f>
        <v>70360.111395082669</v>
      </c>
      <c r="U247" s="174"/>
    </row>
    <row r="248" spans="1:25" s="3" customFormat="1" outlineLevel="1" x14ac:dyDescent="0.45">
      <c r="G248" s="158"/>
      <c r="H248" s="158"/>
      <c r="I248" s="158"/>
      <c r="J248" s="158"/>
      <c r="K248" s="158"/>
      <c r="L248" s="158"/>
      <c r="M248" s="158"/>
    </row>
    <row r="249" spans="1:25" s="3" customFormat="1" outlineLevel="1" x14ac:dyDescent="0.45">
      <c r="A249" s="1" t="s">
        <v>148</v>
      </c>
      <c r="B249" s="64" t="s">
        <v>301</v>
      </c>
      <c r="C249" s="159"/>
      <c r="D249" s="159" t="s">
        <v>302</v>
      </c>
    </row>
    <row r="250" spans="1:25" s="3" customFormat="1" outlineLevel="1" x14ac:dyDescent="0.45">
      <c r="B250" s="57" t="s">
        <v>150</v>
      </c>
      <c r="D250" s="528">
        <v>5</v>
      </c>
      <c r="G250" s="160"/>
      <c r="H250" s="160"/>
      <c r="I250" s="289">
        <v>28445</v>
      </c>
      <c r="J250" s="289">
        <v>21441</v>
      </c>
      <c r="K250" s="289">
        <v>22797</v>
      </c>
      <c r="L250" s="546">
        <f>L277</f>
        <v>21577.244428488</v>
      </c>
      <c r="M250" s="546">
        <f t="shared" ref="M250:R250" si="253">M277</f>
        <v>17825.749830710221</v>
      </c>
      <c r="N250" s="546">
        <f t="shared" si="253"/>
        <v>13942.182217693393</v>
      </c>
      <c r="O250" s="546">
        <f t="shared" si="253"/>
        <v>9926.3774898256634</v>
      </c>
      <c r="P250" s="546">
        <f t="shared" si="253"/>
        <v>5767.9208911136666</v>
      </c>
      <c r="Q250" s="546">
        <f t="shared" si="253"/>
        <v>6247.0840731692924</v>
      </c>
      <c r="R250" s="546">
        <f t="shared" si="253"/>
        <v>6820.1322489625227</v>
      </c>
      <c r="S250" s="160"/>
      <c r="T250" s="160"/>
      <c r="U250" s="65"/>
      <c r="V250" s="65"/>
      <c r="W250" s="65"/>
      <c r="X250" s="65"/>
      <c r="Y250" s="65"/>
    </row>
    <row r="251" spans="1:25" s="3" customFormat="1" outlineLevel="1" x14ac:dyDescent="0.45">
      <c r="B251" s="57" t="s">
        <v>151</v>
      </c>
      <c r="D251" s="528">
        <v>10</v>
      </c>
      <c r="G251" s="160"/>
      <c r="H251" s="160"/>
      <c r="I251" s="289">
        <v>5536</v>
      </c>
      <c r="J251" s="289">
        <v>7031</v>
      </c>
      <c r="K251" s="289">
        <v>7432</v>
      </c>
      <c r="L251" s="546">
        <f>L296</f>
        <v>8179.2302300706669</v>
      </c>
      <c r="M251" s="546">
        <f t="shared" ref="M251:R251" si="254">M296</f>
        <v>8492.1383115273293</v>
      </c>
      <c r="N251" s="546">
        <f t="shared" si="254"/>
        <v>8819.5030959264514</v>
      </c>
      <c r="O251" s="546">
        <f t="shared" si="254"/>
        <v>9181.2632738451939</v>
      </c>
      <c r="P251" s="546">
        <f t="shared" si="254"/>
        <v>9372.4222212131444</v>
      </c>
      <c r="Q251" s="546">
        <f t="shared" si="254"/>
        <v>9843.0747656463373</v>
      </c>
      <c r="R251" s="546">
        <f t="shared" si="254"/>
        <v>10398.888646021514</v>
      </c>
      <c r="S251" s="160"/>
      <c r="T251" s="160"/>
      <c r="U251" s="29"/>
      <c r="V251" s="29"/>
      <c r="W251" s="29"/>
      <c r="X251" s="29"/>
      <c r="Y251" s="29"/>
    </row>
    <row r="252" spans="1:25" s="3" customFormat="1" outlineLevel="1" x14ac:dyDescent="0.45">
      <c r="B252" s="57" t="s">
        <v>152</v>
      </c>
      <c r="D252" s="528">
        <v>10</v>
      </c>
      <c r="G252" s="160"/>
      <c r="H252" s="160"/>
      <c r="I252" s="289">
        <v>74977</v>
      </c>
      <c r="J252" s="289">
        <v>75481</v>
      </c>
      <c r="K252" s="289">
        <v>76045</v>
      </c>
      <c r="L252" s="546">
        <f>L315</f>
        <v>89025.203451059991</v>
      </c>
      <c r="M252" s="546">
        <f t="shared" ref="M252:R252" si="255">M315</f>
        <v>97262.324672909919</v>
      </c>
      <c r="N252" s="546">
        <f t="shared" si="255"/>
        <v>105716.29643889674</v>
      </c>
      <c r="O252" s="546">
        <f t="shared" si="255"/>
        <v>114686.19910767788</v>
      </c>
      <c r="P252" s="546">
        <f t="shared" si="255"/>
        <v>124373.21098790929</v>
      </c>
      <c r="Q252" s="546">
        <f t="shared" si="255"/>
        <v>134976.49915440718</v>
      </c>
      <c r="R252" s="546">
        <f t="shared" si="255"/>
        <v>146857.20736003484</v>
      </c>
      <c r="S252" s="160"/>
      <c r="T252" s="160"/>
      <c r="U252" s="65"/>
      <c r="V252" s="65"/>
      <c r="W252" s="65"/>
      <c r="X252" s="65"/>
      <c r="Y252" s="65"/>
    </row>
    <row r="253" spans="1:25" s="3" customFormat="1" outlineLevel="1" x14ac:dyDescent="0.45">
      <c r="B253" s="57" t="s">
        <v>153</v>
      </c>
      <c r="D253" s="528">
        <v>5</v>
      </c>
      <c r="G253" s="160"/>
      <c r="H253" s="160"/>
      <c r="I253" s="580">
        <v>13992</v>
      </c>
      <c r="J253" s="580">
        <v>18390</v>
      </c>
      <c r="K253" s="580">
        <v>35384</v>
      </c>
      <c r="L253" s="552">
        <f>L334</f>
        <v>35025.433285464002</v>
      </c>
      <c r="M253" s="552">
        <f t="shared" ref="M253:R253" si="256">M334</f>
        <v>30372.349492130659</v>
      </c>
      <c r="N253" s="552">
        <f t="shared" si="256"/>
        <v>25323.046653080171</v>
      </c>
      <c r="O253" s="552">
        <f t="shared" si="256"/>
        <v>19877.032469476981</v>
      </c>
      <c r="P253" s="552">
        <f t="shared" si="256"/>
        <v>14003.062673340986</v>
      </c>
      <c r="Q253" s="552">
        <f t="shared" si="256"/>
        <v>15440.552219507863</v>
      </c>
      <c r="R253" s="552">
        <f t="shared" si="256"/>
        <v>17159.696746887552</v>
      </c>
      <c r="S253" s="160"/>
      <c r="T253" s="160"/>
    </row>
    <row r="254" spans="1:25" s="3" customFormat="1" outlineLevel="1" x14ac:dyDescent="0.45">
      <c r="B254" s="64" t="s">
        <v>303</v>
      </c>
      <c r="I254" s="546">
        <f>SUM(I250:I253)</f>
        <v>122950</v>
      </c>
      <c r="J254" s="546">
        <f t="shared" ref="J254:R254" si="257">SUM(J250:J253)</f>
        <v>122343</v>
      </c>
      <c r="K254" s="546">
        <f t="shared" si="257"/>
        <v>141658</v>
      </c>
      <c r="L254" s="546">
        <f t="shared" si="257"/>
        <v>153807.11139508267</v>
      </c>
      <c r="M254" s="546">
        <f t="shared" si="257"/>
        <v>153952.56230727813</v>
      </c>
      <c r="N254" s="546">
        <f t="shared" si="257"/>
        <v>153801.02840559676</v>
      </c>
      <c r="O254" s="546">
        <f t="shared" si="257"/>
        <v>153670.87234082571</v>
      </c>
      <c r="P254" s="546">
        <f t="shared" si="257"/>
        <v>153516.61677357709</v>
      </c>
      <c r="Q254" s="546">
        <f t="shared" si="257"/>
        <v>166507.21021273069</v>
      </c>
      <c r="R254" s="546">
        <f t="shared" si="257"/>
        <v>181235.92500190643</v>
      </c>
      <c r="S254" s="160"/>
      <c r="T254" s="160"/>
    </row>
    <row r="255" spans="1:25" s="3" customFormat="1" outlineLevel="1" x14ac:dyDescent="0.45">
      <c r="I255" s="29"/>
    </row>
    <row r="256" spans="1:25" s="3" customFormat="1" outlineLevel="1" x14ac:dyDescent="0.45">
      <c r="A256" s="1" t="s">
        <v>148</v>
      </c>
      <c r="B256" s="3" t="s">
        <v>304</v>
      </c>
      <c r="G256" s="160"/>
      <c r="H256" s="160"/>
      <c r="I256" s="160"/>
      <c r="J256" s="160"/>
      <c r="K256" s="160"/>
      <c r="L256" s="546">
        <f>K258</f>
        <v>-83447</v>
      </c>
      <c r="M256" s="546">
        <f>L258</f>
        <v>-94852.209237984003</v>
      </c>
      <c r="N256" s="546">
        <f t="shared" ref="N256" si="258">M258</f>
        <v>-120792.97353961066</v>
      </c>
      <c r="O256" s="546">
        <f t="shared" ref="O256" si="259">N258</f>
        <v>-150250.45107759349</v>
      </c>
      <c r="P256" s="546">
        <f t="shared" ref="P256" si="260">O258</f>
        <v>-183707.10881646886</v>
      </c>
      <c r="Q256" s="546">
        <f t="shared" ref="Q256" si="261">P258</f>
        <v>-221953.19470524119</v>
      </c>
      <c r="R256" s="546">
        <f>Q258</f>
        <v>-252644.30352891612</v>
      </c>
      <c r="S256" s="160"/>
      <c r="T256" s="160"/>
    </row>
    <row r="257" spans="1:21" s="3" customFormat="1" outlineLevel="1" x14ac:dyDescent="0.45">
      <c r="B257" s="3" t="s">
        <v>305</v>
      </c>
      <c r="G257" s="160"/>
      <c r="H257" s="160"/>
      <c r="I257" s="160"/>
      <c r="J257" s="160"/>
      <c r="K257" s="160"/>
      <c r="L257" s="552">
        <f>SUM(L276,L295,L314,L333)</f>
        <v>-11405.209237984</v>
      </c>
      <c r="M257" s="552">
        <f t="shared" ref="M257:R257" si="262">SUM(M276,M295,M314,M333)</f>
        <v>-25940.764301626656</v>
      </c>
      <c r="N257" s="552">
        <f t="shared" si="262"/>
        <v>-29457.477537982828</v>
      </c>
      <c r="O257" s="552">
        <f t="shared" si="262"/>
        <v>-33456.65773887535</v>
      </c>
      <c r="P257" s="552">
        <f t="shared" si="262"/>
        <v>-38246.08588877233</v>
      </c>
      <c r="Q257" s="552">
        <f t="shared" si="262"/>
        <v>-30691.108823674946</v>
      </c>
      <c r="R257" s="552">
        <f t="shared" si="262"/>
        <v>-35698.984079344489</v>
      </c>
      <c r="S257" s="160"/>
      <c r="T257" s="160"/>
    </row>
    <row r="258" spans="1:21" s="3" customFormat="1" outlineLevel="1" x14ac:dyDescent="0.45">
      <c r="B258" s="64" t="s">
        <v>306</v>
      </c>
      <c r="F258" s="157"/>
      <c r="G258" s="160"/>
      <c r="H258" s="160"/>
      <c r="I258" s="289">
        <v>-70111</v>
      </c>
      <c r="J258" s="289">
        <v>-70710</v>
      </c>
      <c r="K258" s="289">
        <v>-83447</v>
      </c>
      <c r="L258" s="546">
        <f t="shared" ref="L258" si="263">SUM(L256:L257)</f>
        <v>-94852.209237984003</v>
      </c>
      <c r="M258" s="546">
        <f t="shared" ref="M258:R258" si="264">SUM(M256:M257)</f>
        <v>-120792.97353961066</v>
      </c>
      <c r="N258" s="546">
        <f t="shared" si="264"/>
        <v>-150250.45107759349</v>
      </c>
      <c r="O258" s="546">
        <f t="shared" si="264"/>
        <v>-183707.10881646886</v>
      </c>
      <c r="P258" s="546">
        <f t="shared" si="264"/>
        <v>-221953.19470524119</v>
      </c>
      <c r="Q258" s="546">
        <f t="shared" si="264"/>
        <v>-252644.30352891612</v>
      </c>
      <c r="R258" s="546">
        <f t="shared" si="264"/>
        <v>-288343.28760826064</v>
      </c>
      <c r="S258" s="160"/>
      <c r="T258" s="160"/>
    </row>
    <row r="259" spans="1:21" s="3" customFormat="1" outlineLevel="1" x14ac:dyDescent="0.45">
      <c r="F259" s="157"/>
    </row>
    <row r="260" spans="1:21" s="64" customFormat="1" outlineLevel="1" x14ac:dyDescent="0.45">
      <c r="B260" s="64" t="s">
        <v>307</v>
      </c>
      <c r="G260" s="546">
        <f>G126</f>
        <v>-8217</v>
      </c>
      <c r="H260" s="546">
        <f>H126</f>
        <v>-4712</v>
      </c>
      <c r="I260" s="546">
        <f>I126</f>
        <v>-11021</v>
      </c>
      <c r="J260" s="546">
        <f>J126</f>
        <v>-11543</v>
      </c>
      <c r="K260" s="546">
        <f>K126</f>
        <v>-16998</v>
      </c>
      <c r="L260" s="344">
        <f>L261*L240</f>
        <v>-23554.320633066669</v>
      </c>
      <c r="M260" s="344">
        <f t="shared" ref="M260:R260" si="265">M261*M240</f>
        <v>-26086.215213822132</v>
      </c>
      <c r="N260" s="344">
        <f t="shared" si="265"/>
        <v>-29305.943636301443</v>
      </c>
      <c r="O260" s="344">
        <f t="shared" si="265"/>
        <v>-33326.501674104307</v>
      </c>
      <c r="P260" s="344">
        <f t="shared" si="265"/>
        <v>-38091.830321523696</v>
      </c>
      <c r="Q260" s="344">
        <f t="shared" si="265"/>
        <v>-43681.702262828534</v>
      </c>
      <c r="R260" s="344">
        <f t="shared" si="265"/>
        <v>-50427.698868520245</v>
      </c>
      <c r="S260" s="344">
        <f>$L$260*S233</f>
        <v>-18778.027838028152</v>
      </c>
      <c r="T260" s="344">
        <f>$L$260*T233</f>
        <v>-4776.2927950385174</v>
      </c>
    </row>
    <row r="261" spans="1:21" s="3" customFormat="1" outlineLevel="1" x14ac:dyDescent="0.45">
      <c r="B261" s="105" t="s">
        <v>308</v>
      </c>
      <c r="G261" s="162">
        <f>G260/G240</f>
        <v>-1.6950970704547284E-2</v>
      </c>
      <c r="H261" s="162">
        <f>H260/H240</f>
        <v>-7.5859415373767001E-3</v>
      </c>
      <c r="I261" s="162">
        <f>I260/I240</f>
        <v>-1.4056716638734347E-2</v>
      </c>
      <c r="J261" s="162">
        <f>J260/J240</f>
        <v>-1.3314155474455922E-2</v>
      </c>
      <c r="K261" s="162">
        <f>K260/K240</f>
        <v>-1.6790867854151192E-2</v>
      </c>
      <c r="L261" s="523">
        <f>'Key Inputs and Drivers'!L51</f>
        <v>-0.02</v>
      </c>
      <c r="M261" s="523">
        <f>'Key Inputs and Drivers'!M51</f>
        <v>-0.02</v>
      </c>
      <c r="N261" s="523">
        <f>'Key Inputs and Drivers'!N51</f>
        <v>-0.02</v>
      </c>
      <c r="O261" s="523">
        <f>'Key Inputs and Drivers'!O51</f>
        <v>-0.02</v>
      </c>
      <c r="P261" s="523">
        <f>'Key Inputs and Drivers'!P51</f>
        <v>-0.02</v>
      </c>
      <c r="Q261" s="523">
        <f>'Key Inputs and Drivers'!Q51</f>
        <v>-0.02</v>
      </c>
      <c r="R261" s="523">
        <f>'Key Inputs and Drivers'!R51</f>
        <v>-0.02</v>
      </c>
      <c r="S261" s="160"/>
      <c r="T261" s="160"/>
      <c r="U261" s="64"/>
    </row>
    <row r="262" spans="1:21" s="3" customFormat="1" outlineLevel="1" x14ac:dyDescent="0.45">
      <c r="B262" s="105"/>
      <c r="G262" s="162"/>
      <c r="H262" s="162"/>
      <c r="I262" s="162"/>
      <c r="J262" s="162"/>
      <c r="K262" s="162"/>
      <c r="L262" s="170"/>
      <c r="M262" s="170"/>
      <c r="N262" s="170"/>
      <c r="O262" s="170"/>
      <c r="P262" s="170"/>
      <c r="Q262" s="170"/>
      <c r="R262" s="170"/>
    </row>
    <row r="263" spans="1:21" s="3" customFormat="1" outlineLevel="1" x14ac:dyDescent="0.45">
      <c r="A263" s="1" t="s">
        <v>148</v>
      </c>
      <c r="B263" s="64" t="s">
        <v>309</v>
      </c>
    </row>
    <row r="264" spans="1:21" s="3" customFormat="1" outlineLevel="1" x14ac:dyDescent="0.45">
      <c r="B264" s="57" t="s">
        <v>150</v>
      </c>
      <c r="G264" s="160"/>
      <c r="H264" s="160"/>
      <c r="I264" s="160"/>
      <c r="J264" s="546">
        <f t="shared" ref="J264:K267" si="266">J250-I250</f>
        <v>-7004</v>
      </c>
      <c r="K264" s="546">
        <f t="shared" si="266"/>
        <v>1356</v>
      </c>
      <c r="L264" s="556">
        <f>ABS(L$260*'Key Inputs and Drivers'!L55)</f>
        <v>1177.7160316533334</v>
      </c>
      <c r="M264" s="556">
        <f>ABS(M$260*'Key Inputs and Drivers'!M55)</f>
        <v>1304.3107606911067</v>
      </c>
      <c r="N264" s="556">
        <f>ABS(N$260*'Key Inputs and Drivers'!N55)</f>
        <v>1465.2971818150722</v>
      </c>
      <c r="O264" s="556">
        <f>ABS(O$260*'Key Inputs and Drivers'!O55)</f>
        <v>1666.3250837052155</v>
      </c>
      <c r="P264" s="556">
        <f>ABS(P$260*'Key Inputs and Drivers'!P55)</f>
        <v>1904.5915160761849</v>
      </c>
      <c r="Q264" s="556">
        <f>ABS(Q$260*'Key Inputs and Drivers'!Q55)</f>
        <v>2184.085113141427</v>
      </c>
      <c r="R264" s="556">
        <f>ABS(R$260*'Key Inputs and Drivers'!R55)</f>
        <v>2521.3849434260123</v>
      </c>
      <c r="S264" s="160"/>
      <c r="T264" s="160"/>
    </row>
    <row r="265" spans="1:21" s="3" customFormat="1" outlineLevel="1" x14ac:dyDescent="0.45">
      <c r="B265" s="57" t="s">
        <v>151</v>
      </c>
      <c r="G265" s="160"/>
      <c r="H265" s="160"/>
      <c r="I265" s="160"/>
      <c r="J265" s="546">
        <f t="shared" si="266"/>
        <v>1495</v>
      </c>
      <c r="K265" s="546">
        <f t="shared" si="266"/>
        <v>401</v>
      </c>
      <c r="L265" s="556">
        <f>ABS(L$260*'Key Inputs and Drivers'!L56)</f>
        <v>1177.7160316533334</v>
      </c>
      <c r="M265" s="556">
        <f>ABS(M$260*'Key Inputs and Drivers'!M56)</f>
        <v>1304.3107606911067</v>
      </c>
      <c r="N265" s="556">
        <f>ABS(N$260*'Key Inputs and Drivers'!N56)</f>
        <v>1465.2971818150722</v>
      </c>
      <c r="O265" s="556">
        <f>ABS(O$260*'Key Inputs and Drivers'!O56)</f>
        <v>1666.3250837052155</v>
      </c>
      <c r="P265" s="556">
        <f>ABS(P$260*'Key Inputs and Drivers'!P56)</f>
        <v>1904.5915160761849</v>
      </c>
      <c r="Q265" s="556">
        <f>ABS(Q$260*'Key Inputs and Drivers'!Q56)</f>
        <v>2184.085113141427</v>
      </c>
      <c r="R265" s="556">
        <f>ABS(R$260*'Key Inputs and Drivers'!R56)</f>
        <v>2521.3849434260123</v>
      </c>
      <c r="S265" s="160"/>
      <c r="T265" s="160"/>
    </row>
    <row r="266" spans="1:21" s="3" customFormat="1" outlineLevel="1" x14ac:dyDescent="0.45">
      <c r="B266" s="57" t="s">
        <v>152</v>
      </c>
      <c r="G266" s="160"/>
      <c r="H266" s="160"/>
      <c r="I266" s="160"/>
      <c r="J266" s="546">
        <f t="shared" si="266"/>
        <v>504</v>
      </c>
      <c r="K266" s="546">
        <f t="shared" si="266"/>
        <v>564</v>
      </c>
      <c r="L266" s="556">
        <f>ABS(L$260*'Key Inputs and Drivers'!L57)</f>
        <v>17665.740474800001</v>
      </c>
      <c r="M266" s="556">
        <f>ABS(M$260*'Key Inputs and Drivers'!M57)</f>
        <v>19564.6614103666</v>
      </c>
      <c r="N266" s="556">
        <f>ABS(N$260*'Key Inputs and Drivers'!N57)</f>
        <v>21979.457727226083</v>
      </c>
      <c r="O266" s="556">
        <f>ABS(O$260*'Key Inputs and Drivers'!O57)</f>
        <v>24994.87625557823</v>
      </c>
      <c r="P266" s="556">
        <f>ABS(P$260*'Key Inputs and Drivers'!P57)</f>
        <v>28568.872741142772</v>
      </c>
      <c r="Q266" s="556">
        <f>ABS(Q$260*'Key Inputs and Drivers'!Q57)</f>
        <v>32761.276697121401</v>
      </c>
      <c r="R266" s="556">
        <f>ABS(R$260*'Key Inputs and Drivers'!R57)</f>
        <v>37820.774151390186</v>
      </c>
      <c r="S266" s="160"/>
      <c r="T266" s="160"/>
    </row>
    <row r="267" spans="1:21" s="3" customFormat="1" outlineLevel="1" x14ac:dyDescent="0.45">
      <c r="B267" s="57" t="s">
        <v>153</v>
      </c>
      <c r="G267" s="160"/>
      <c r="H267" s="160"/>
      <c r="I267" s="160"/>
      <c r="J267" s="552">
        <f t="shared" si="266"/>
        <v>4398</v>
      </c>
      <c r="K267" s="552">
        <f t="shared" si="266"/>
        <v>16994</v>
      </c>
      <c r="L267" s="557">
        <f>ABS(L$260*'Key Inputs and Drivers'!L58)</f>
        <v>3533.1480949600004</v>
      </c>
      <c r="M267" s="557">
        <f>ABS(M$260*'Key Inputs and Drivers'!M58)</f>
        <v>3912.9322820733196</v>
      </c>
      <c r="N267" s="557">
        <f>ABS(N$260*'Key Inputs and Drivers'!N58)</f>
        <v>4395.8915454452163</v>
      </c>
      <c r="O267" s="557">
        <f>ABS(O$260*'Key Inputs and Drivers'!O58)</f>
        <v>4998.9752511156457</v>
      </c>
      <c r="P267" s="557">
        <f>ABS(P$260*'Key Inputs and Drivers'!P58)</f>
        <v>5713.7745482285545</v>
      </c>
      <c r="Q267" s="557">
        <f>ABS(Q$260*'Key Inputs and Drivers'!Q58)</f>
        <v>6552.2553394242796</v>
      </c>
      <c r="R267" s="557">
        <f>ABS(R$260*'Key Inputs and Drivers'!R58)</f>
        <v>7564.1548302780366</v>
      </c>
      <c r="S267" s="160"/>
      <c r="T267" s="160"/>
    </row>
    <row r="268" spans="1:21" s="3" customFormat="1" outlineLevel="1" x14ac:dyDescent="0.45">
      <c r="B268" s="64" t="s">
        <v>310</v>
      </c>
      <c r="G268" s="160"/>
      <c r="H268" s="160"/>
      <c r="I268" s="160"/>
      <c r="J268" s="546">
        <f>SUM(J264:J267)</f>
        <v>-607</v>
      </c>
      <c r="K268" s="546">
        <f t="shared" ref="K268:L268" si="267">SUM(K264:K267)</f>
        <v>19315</v>
      </c>
      <c r="L268" s="546">
        <f t="shared" si="267"/>
        <v>23554.320633066669</v>
      </c>
      <c r="M268" s="546">
        <f t="shared" ref="M268:R268" si="268">SUM(M264:M267)</f>
        <v>26086.215213822135</v>
      </c>
      <c r="N268" s="546">
        <f t="shared" si="268"/>
        <v>29305.943636301447</v>
      </c>
      <c r="O268" s="546">
        <f t="shared" si="268"/>
        <v>33326.501674104307</v>
      </c>
      <c r="P268" s="546">
        <f t="shared" si="268"/>
        <v>38091.830321523696</v>
      </c>
      <c r="Q268" s="546">
        <f t="shared" si="268"/>
        <v>43681.702262828534</v>
      </c>
      <c r="R268" s="546">
        <f t="shared" si="268"/>
        <v>50427.698868520245</v>
      </c>
      <c r="S268" s="160"/>
      <c r="T268" s="160"/>
    </row>
    <row r="269" spans="1:21" s="3" customFormat="1" outlineLevel="1" x14ac:dyDescent="0.45"/>
    <row r="270" spans="1:21" s="3" customFormat="1" outlineLevel="1" x14ac:dyDescent="0.45">
      <c r="A270" s="1" t="s">
        <v>148</v>
      </c>
      <c r="B270" s="163" t="s">
        <v>150</v>
      </c>
      <c r="C270" s="164"/>
      <c r="D270" s="164"/>
      <c r="E270" s="164"/>
      <c r="F270" s="164"/>
      <c r="G270" s="164"/>
      <c r="H270" s="164"/>
      <c r="I270" s="164"/>
      <c r="J270" s="164"/>
      <c r="K270" s="164"/>
      <c r="L270" s="164"/>
      <c r="M270" s="164"/>
      <c r="N270" s="164"/>
      <c r="O270" s="164"/>
      <c r="P270" s="164"/>
      <c r="Q270" s="164"/>
      <c r="R270" s="164"/>
      <c r="S270" s="164"/>
      <c r="T270" s="164"/>
    </row>
    <row r="271" spans="1:21" s="3" customFormat="1" outlineLevel="1" x14ac:dyDescent="0.45"/>
    <row r="272" spans="1:21" s="3" customFormat="1" outlineLevel="1" x14ac:dyDescent="0.45">
      <c r="A272" s="1" t="s">
        <v>148</v>
      </c>
      <c r="B272" s="64" t="s">
        <v>311</v>
      </c>
      <c r="D272" s="520">
        <f>$D$250</f>
        <v>5</v>
      </c>
      <c r="K272" s="64" t="s">
        <v>1411</v>
      </c>
      <c r="L272" s="519">
        <v>0.5</v>
      </c>
      <c r="M272" s="519">
        <v>1</v>
      </c>
      <c r="N272" s="519">
        <v>1</v>
      </c>
      <c r="O272" s="519">
        <v>1</v>
      </c>
      <c r="P272" s="519">
        <v>1</v>
      </c>
      <c r="Q272" s="519">
        <v>1</v>
      </c>
      <c r="R272" s="519">
        <v>1</v>
      </c>
    </row>
    <row r="273" spans="2:20" s="3" customFormat="1" outlineLevel="1" x14ac:dyDescent="0.45"/>
    <row r="274" spans="2:20" s="3" customFormat="1" outlineLevel="1" x14ac:dyDescent="0.45">
      <c r="B274" s="3" t="s">
        <v>312</v>
      </c>
      <c r="G274" s="160"/>
      <c r="H274" s="160"/>
      <c r="I274" s="160"/>
      <c r="J274" s="160"/>
      <c r="K274" s="160"/>
      <c r="L274" s="546">
        <f>K250</f>
        <v>22797</v>
      </c>
      <c r="M274" s="546">
        <f t="shared" ref="M274" si="269">L277</f>
        <v>21577.244428488</v>
      </c>
      <c r="N274" s="546">
        <f t="shared" ref="N274" si="270">M277</f>
        <v>17825.749830710221</v>
      </c>
      <c r="O274" s="546">
        <f t="shared" ref="O274" si="271">N277</f>
        <v>13942.182217693393</v>
      </c>
      <c r="P274" s="546">
        <f t="shared" ref="P274" si="272">O277</f>
        <v>9926.3774898256634</v>
      </c>
      <c r="Q274" s="546">
        <f t="shared" ref="Q274" si="273">P277</f>
        <v>5767.9208911136666</v>
      </c>
      <c r="R274" s="546">
        <f t="shared" ref="R274" si="274">Q277</f>
        <v>6247.0840731692924</v>
      </c>
      <c r="S274" s="160"/>
      <c r="T274" s="160"/>
    </row>
    <row r="275" spans="2:20" s="3" customFormat="1" outlineLevel="1" x14ac:dyDescent="0.45">
      <c r="B275" s="3" t="s">
        <v>309</v>
      </c>
      <c r="G275" s="160"/>
      <c r="H275" s="160"/>
      <c r="I275" s="160"/>
      <c r="J275" s="160"/>
      <c r="K275" s="160"/>
      <c r="L275" s="546">
        <f>L264</f>
        <v>1177.7160316533334</v>
      </c>
      <c r="M275" s="546">
        <f t="shared" ref="M275:R275" si="275">M264</f>
        <v>1304.3107606911067</v>
      </c>
      <c r="N275" s="546">
        <f t="shared" si="275"/>
        <v>1465.2971818150722</v>
      </c>
      <c r="O275" s="546">
        <f t="shared" si="275"/>
        <v>1666.3250837052155</v>
      </c>
      <c r="P275" s="546">
        <f t="shared" si="275"/>
        <v>1904.5915160761849</v>
      </c>
      <c r="Q275" s="546">
        <f t="shared" si="275"/>
        <v>2184.085113141427</v>
      </c>
      <c r="R275" s="546">
        <f t="shared" si="275"/>
        <v>2521.3849434260123</v>
      </c>
      <c r="S275" s="160"/>
      <c r="T275" s="160"/>
    </row>
    <row r="276" spans="2:20" s="3" customFormat="1" outlineLevel="1" x14ac:dyDescent="0.45">
      <c r="B276" s="3" t="s">
        <v>313</v>
      </c>
      <c r="G276" s="160"/>
      <c r="H276" s="160"/>
      <c r="I276" s="160"/>
      <c r="J276" s="160"/>
      <c r="K276" s="160"/>
      <c r="L276" s="552">
        <f>L287*L272</f>
        <v>-2397.4716031653334</v>
      </c>
      <c r="M276" s="552">
        <f t="shared" ref="M276:R276" si="276">M287*M272</f>
        <v>-5055.8053584688878</v>
      </c>
      <c r="N276" s="552">
        <f t="shared" si="276"/>
        <v>-5348.8647948319021</v>
      </c>
      <c r="O276" s="552">
        <f t="shared" si="276"/>
        <v>-5682.1298115729451</v>
      </c>
      <c r="P276" s="552">
        <f t="shared" si="276"/>
        <v>-6063.0481147881819</v>
      </c>
      <c r="Q276" s="552">
        <f t="shared" si="276"/>
        <v>-1704.9219310858016</v>
      </c>
      <c r="R276" s="552">
        <f t="shared" si="276"/>
        <v>-1948.3367676327823</v>
      </c>
      <c r="S276" s="160"/>
      <c r="T276" s="160"/>
    </row>
    <row r="277" spans="2:20" s="3" customFormat="1" outlineLevel="1" x14ac:dyDescent="0.45">
      <c r="B277" s="3" t="s">
        <v>314</v>
      </c>
      <c r="G277" s="160"/>
      <c r="H277" s="160"/>
      <c r="I277" s="160"/>
      <c r="J277" s="160"/>
      <c r="K277" s="160"/>
      <c r="L277" s="546">
        <f>SUM(L274:L276)</f>
        <v>21577.244428488</v>
      </c>
      <c r="M277" s="546">
        <f t="shared" ref="M277" si="277">SUM(M274:M276)</f>
        <v>17825.749830710221</v>
      </c>
      <c r="N277" s="546">
        <f t="shared" ref="N277:R277" si="278">SUM(N274:N276)</f>
        <v>13942.182217693393</v>
      </c>
      <c r="O277" s="546">
        <f t="shared" si="278"/>
        <v>9926.3774898256634</v>
      </c>
      <c r="P277" s="546">
        <f t="shared" si="278"/>
        <v>5767.9208911136666</v>
      </c>
      <c r="Q277" s="546">
        <f t="shared" si="278"/>
        <v>6247.0840731692924</v>
      </c>
      <c r="R277" s="546">
        <f t="shared" si="278"/>
        <v>6820.1322489625227</v>
      </c>
      <c r="S277" s="160"/>
      <c r="T277" s="160"/>
    </row>
    <row r="278" spans="2:20" s="3" customFormat="1" outlineLevel="1" x14ac:dyDescent="0.45">
      <c r="B278" s="165" t="s">
        <v>315</v>
      </c>
      <c r="C278" s="166" t="s">
        <v>309</v>
      </c>
      <c r="D278" s="166" t="s">
        <v>316</v>
      </c>
      <c r="K278" s="166" t="s">
        <v>317</v>
      </c>
      <c r="S278" s="160"/>
      <c r="T278" s="160"/>
    </row>
    <row r="279" spans="2:20" s="3" customFormat="1" outlineLevel="1" x14ac:dyDescent="0.45">
      <c r="B279" s="167">
        <v>2023</v>
      </c>
      <c r="C279" s="546">
        <f>L274</f>
        <v>22797</v>
      </c>
      <c r="D279" s="168">
        <f>B279+$D$272</f>
        <v>2028</v>
      </c>
      <c r="G279" s="160"/>
      <c r="H279" s="160"/>
      <c r="I279" s="160"/>
      <c r="J279" s="160"/>
      <c r="K279" s="546">
        <f>-C279/$D$272</f>
        <v>-4559.3999999999996</v>
      </c>
      <c r="L279" s="581">
        <f>$K$279</f>
        <v>-4559.3999999999996</v>
      </c>
      <c r="M279" s="581">
        <f t="shared" ref="M279:P279" si="279">$K$279</f>
        <v>-4559.3999999999996</v>
      </c>
      <c r="N279" s="581">
        <f t="shared" si="279"/>
        <v>-4559.3999999999996</v>
      </c>
      <c r="O279" s="581">
        <f t="shared" si="279"/>
        <v>-4559.3999999999996</v>
      </c>
      <c r="P279" s="581">
        <f t="shared" si="279"/>
        <v>-4559.3999999999996</v>
      </c>
      <c r="Q279" s="581" t="s">
        <v>108</v>
      </c>
      <c r="R279" s="581" t="s">
        <v>108</v>
      </c>
      <c r="S279" s="160"/>
      <c r="T279" s="160"/>
    </row>
    <row r="280" spans="2:20" s="3" customFormat="1" outlineLevel="1" x14ac:dyDescent="0.45">
      <c r="B280" s="169">
        <f>B279+1</f>
        <v>2024</v>
      </c>
      <c r="C280" s="546">
        <f>L275</f>
        <v>1177.7160316533334</v>
      </c>
      <c r="D280" s="168">
        <f t="shared" ref="D280:D286" si="280">B280+$D$272</f>
        <v>2029</v>
      </c>
      <c r="G280" s="160"/>
      <c r="H280" s="160"/>
      <c r="I280" s="160"/>
      <c r="J280" s="160"/>
      <c r="K280" s="546">
        <f t="shared" ref="K280:K286" si="281">-C280/$D$272</f>
        <v>-235.54320633066669</v>
      </c>
      <c r="L280" s="581">
        <f>$K$280</f>
        <v>-235.54320633066669</v>
      </c>
      <c r="M280" s="581">
        <f t="shared" ref="M280:P280" si="282">$K$280</f>
        <v>-235.54320633066669</v>
      </c>
      <c r="N280" s="581">
        <f t="shared" si="282"/>
        <v>-235.54320633066669</v>
      </c>
      <c r="O280" s="581">
        <f t="shared" si="282"/>
        <v>-235.54320633066669</v>
      </c>
      <c r="P280" s="581">
        <f t="shared" si="282"/>
        <v>-235.54320633066669</v>
      </c>
      <c r="Q280" s="581" t="s">
        <v>108</v>
      </c>
      <c r="R280" s="581" t="s">
        <v>108</v>
      </c>
      <c r="S280" s="160"/>
      <c r="T280" s="160"/>
    </row>
    <row r="281" spans="2:20" s="3" customFormat="1" outlineLevel="1" x14ac:dyDescent="0.45">
      <c r="B281" s="173">
        <f t="shared" ref="B281:B286" si="283">B280+1</f>
        <v>2025</v>
      </c>
      <c r="C281" s="546">
        <f>M275</f>
        <v>1304.3107606911067</v>
      </c>
      <c r="D281" s="168">
        <f t="shared" si="280"/>
        <v>2030</v>
      </c>
      <c r="G281" s="160"/>
      <c r="H281" s="160"/>
      <c r="I281" s="160"/>
      <c r="J281" s="160"/>
      <c r="K281" s="546">
        <f t="shared" si="281"/>
        <v>-260.86215213822135</v>
      </c>
      <c r="L281" s="581" t="s">
        <v>108</v>
      </c>
      <c r="M281" s="581">
        <f>$K$281</f>
        <v>-260.86215213822135</v>
      </c>
      <c r="N281" s="581">
        <f t="shared" ref="N281:Q281" si="284">$K$281</f>
        <v>-260.86215213822135</v>
      </c>
      <c r="O281" s="581">
        <f t="shared" si="284"/>
        <v>-260.86215213822135</v>
      </c>
      <c r="P281" s="581">
        <f t="shared" si="284"/>
        <v>-260.86215213822135</v>
      </c>
      <c r="Q281" s="581">
        <f t="shared" si="284"/>
        <v>-260.86215213822135</v>
      </c>
      <c r="R281" s="581" t="s">
        <v>108</v>
      </c>
      <c r="S281" s="160"/>
      <c r="T281" s="160"/>
    </row>
    <row r="282" spans="2:20" s="3" customFormat="1" outlineLevel="1" x14ac:dyDescent="0.45">
      <c r="B282" s="173">
        <f t="shared" si="283"/>
        <v>2026</v>
      </c>
      <c r="C282" s="546">
        <f>N275</f>
        <v>1465.2971818150722</v>
      </c>
      <c r="D282" s="168">
        <f t="shared" si="280"/>
        <v>2031</v>
      </c>
      <c r="G282" s="160"/>
      <c r="H282" s="160"/>
      <c r="I282" s="160"/>
      <c r="J282" s="160"/>
      <c r="K282" s="546">
        <f t="shared" si="281"/>
        <v>-293.05943636301447</v>
      </c>
      <c r="L282" s="581" t="s">
        <v>108</v>
      </c>
      <c r="M282" s="581" t="s">
        <v>108</v>
      </c>
      <c r="N282" s="581">
        <f>$K$282</f>
        <v>-293.05943636301447</v>
      </c>
      <c r="O282" s="581">
        <f t="shared" ref="O282:R282" si="285">$K$282</f>
        <v>-293.05943636301447</v>
      </c>
      <c r="P282" s="581">
        <f t="shared" si="285"/>
        <v>-293.05943636301447</v>
      </c>
      <c r="Q282" s="581">
        <f t="shared" si="285"/>
        <v>-293.05943636301447</v>
      </c>
      <c r="R282" s="581">
        <f t="shared" si="285"/>
        <v>-293.05943636301447</v>
      </c>
      <c r="S282" s="160"/>
      <c r="T282" s="160"/>
    </row>
    <row r="283" spans="2:20" s="3" customFormat="1" outlineLevel="1" x14ac:dyDescent="0.45">
      <c r="B283" s="173">
        <f t="shared" si="283"/>
        <v>2027</v>
      </c>
      <c r="C283" s="546">
        <f>O275</f>
        <v>1666.3250837052155</v>
      </c>
      <c r="D283" s="168">
        <f t="shared" si="280"/>
        <v>2032</v>
      </c>
      <c r="G283" s="160"/>
      <c r="H283" s="160"/>
      <c r="I283" s="160"/>
      <c r="J283" s="160"/>
      <c r="K283" s="546">
        <f t="shared" si="281"/>
        <v>-333.2650167410431</v>
      </c>
      <c r="L283" s="581" t="s">
        <v>108</v>
      </c>
      <c r="M283" s="581" t="s">
        <v>108</v>
      </c>
      <c r="N283" s="581" t="s">
        <v>108</v>
      </c>
      <c r="O283" s="581">
        <f>$K$283</f>
        <v>-333.2650167410431</v>
      </c>
      <c r="P283" s="581">
        <f t="shared" ref="P283:R283" si="286">$K$283</f>
        <v>-333.2650167410431</v>
      </c>
      <c r="Q283" s="581">
        <f t="shared" si="286"/>
        <v>-333.2650167410431</v>
      </c>
      <c r="R283" s="581">
        <f t="shared" si="286"/>
        <v>-333.2650167410431</v>
      </c>
      <c r="S283" s="160"/>
      <c r="T283" s="160"/>
    </row>
    <row r="284" spans="2:20" s="3" customFormat="1" outlineLevel="1" x14ac:dyDescent="0.45">
      <c r="B284" s="173">
        <f t="shared" si="283"/>
        <v>2028</v>
      </c>
      <c r="C284" s="546">
        <f>P275</f>
        <v>1904.5915160761849</v>
      </c>
      <c r="D284" s="168">
        <f t="shared" si="280"/>
        <v>2033</v>
      </c>
      <c r="G284" s="160"/>
      <c r="H284" s="160"/>
      <c r="I284" s="160"/>
      <c r="J284" s="160"/>
      <c r="K284" s="546">
        <f t="shared" si="281"/>
        <v>-380.91830321523696</v>
      </c>
      <c r="L284" s="581" t="s">
        <v>108</v>
      </c>
      <c r="M284" s="581" t="s">
        <v>108</v>
      </c>
      <c r="N284" s="581" t="s">
        <v>108</v>
      </c>
      <c r="O284" s="581" t="s">
        <v>108</v>
      </c>
      <c r="P284" s="581">
        <f>$K$284</f>
        <v>-380.91830321523696</v>
      </c>
      <c r="Q284" s="581">
        <f t="shared" ref="Q284:R284" si="287">$K$284</f>
        <v>-380.91830321523696</v>
      </c>
      <c r="R284" s="581">
        <f t="shared" si="287"/>
        <v>-380.91830321523696</v>
      </c>
      <c r="S284" s="160"/>
      <c r="T284" s="160"/>
    </row>
    <row r="285" spans="2:20" s="3" customFormat="1" outlineLevel="1" x14ac:dyDescent="0.45">
      <c r="B285" s="173">
        <f t="shared" si="283"/>
        <v>2029</v>
      </c>
      <c r="C285" s="546">
        <f>Q275</f>
        <v>2184.085113141427</v>
      </c>
      <c r="D285" s="168">
        <f t="shared" si="280"/>
        <v>2034</v>
      </c>
      <c r="G285" s="160"/>
      <c r="H285" s="160"/>
      <c r="I285" s="160"/>
      <c r="J285" s="160"/>
      <c r="K285" s="546">
        <f t="shared" si="281"/>
        <v>-436.81702262828537</v>
      </c>
      <c r="L285" s="581" t="s">
        <v>108</v>
      </c>
      <c r="M285" s="581" t="s">
        <v>108</v>
      </c>
      <c r="N285" s="581" t="s">
        <v>108</v>
      </c>
      <c r="O285" s="581" t="s">
        <v>108</v>
      </c>
      <c r="P285" s="581" t="s">
        <v>108</v>
      </c>
      <c r="Q285" s="581">
        <f>$K$285</f>
        <v>-436.81702262828537</v>
      </c>
      <c r="R285" s="581">
        <f>$K$285</f>
        <v>-436.81702262828537</v>
      </c>
      <c r="S285" s="160"/>
      <c r="T285" s="160"/>
    </row>
    <row r="286" spans="2:20" s="3" customFormat="1" outlineLevel="1" x14ac:dyDescent="0.45">
      <c r="B286" s="173">
        <f t="shared" si="283"/>
        <v>2030</v>
      </c>
      <c r="C286" s="546">
        <f>R275</f>
        <v>2521.3849434260123</v>
      </c>
      <c r="D286" s="168">
        <f t="shared" si="280"/>
        <v>2035</v>
      </c>
      <c r="G286" s="160"/>
      <c r="H286" s="160"/>
      <c r="I286" s="160"/>
      <c r="J286" s="160"/>
      <c r="K286" s="546">
        <f t="shared" si="281"/>
        <v>-504.27698868520247</v>
      </c>
      <c r="L286" s="582" t="s">
        <v>108</v>
      </c>
      <c r="M286" s="582" t="s">
        <v>108</v>
      </c>
      <c r="N286" s="582" t="s">
        <v>108</v>
      </c>
      <c r="O286" s="582" t="s">
        <v>108</v>
      </c>
      <c r="P286" s="582" t="s">
        <v>108</v>
      </c>
      <c r="Q286" s="582" t="s">
        <v>108</v>
      </c>
      <c r="R286" s="582">
        <f>$K$286</f>
        <v>-504.27698868520247</v>
      </c>
      <c r="S286" s="160"/>
      <c r="T286" s="160"/>
    </row>
    <row r="287" spans="2:20" s="3" customFormat="1" outlineLevel="1" x14ac:dyDescent="0.45">
      <c r="B287" s="64" t="s">
        <v>313</v>
      </c>
      <c r="J287" s="161"/>
      <c r="K287" s="546">
        <f>SUM(K279:K286)</f>
        <v>-7004.1421261016694</v>
      </c>
      <c r="L287" s="581">
        <f>SUM(L279:L286)</f>
        <v>-4794.9432063306667</v>
      </c>
      <c r="M287" s="581">
        <f>SUM(M279:M286)</f>
        <v>-5055.8053584688878</v>
      </c>
      <c r="N287" s="581">
        <f t="shared" ref="N287:R287" si="288">SUM(N279:N286)</f>
        <v>-5348.8647948319021</v>
      </c>
      <c r="O287" s="581">
        <f t="shared" si="288"/>
        <v>-5682.1298115729451</v>
      </c>
      <c r="P287" s="581">
        <f t="shared" si="288"/>
        <v>-6063.0481147881819</v>
      </c>
      <c r="Q287" s="581">
        <f t="shared" si="288"/>
        <v>-1704.9219310858016</v>
      </c>
      <c r="R287" s="581">
        <f t="shared" si="288"/>
        <v>-1948.3367676327823</v>
      </c>
      <c r="S287" s="160"/>
      <c r="T287" s="160"/>
    </row>
    <row r="288" spans="2:20" s="3" customFormat="1" outlineLevel="1" x14ac:dyDescent="0.45"/>
    <row r="289" spans="1:20" s="3" customFormat="1" outlineLevel="1" x14ac:dyDescent="0.45">
      <c r="A289" s="1" t="s">
        <v>148</v>
      </c>
      <c r="B289" s="163" t="s">
        <v>318</v>
      </c>
      <c r="C289" s="164"/>
      <c r="D289" s="164"/>
      <c r="E289" s="164"/>
      <c r="F289" s="164"/>
      <c r="G289" s="164"/>
      <c r="H289" s="164"/>
      <c r="I289" s="164"/>
      <c r="J289" s="164"/>
      <c r="K289" s="164"/>
      <c r="L289" s="164"/>
      <c r="M289" s="164"/>
      <c r="N289" s="164"/>
      <c r="O289" s="164"/>
      <c r="P289" s="164"/>
      <c r="Q289" s="164"/>
      <c r="R289" s="164"/>
      <c r="S289" s="164"/>
      <c r="T289" s="164"/>
    </row>
    <row r="290" spans="1:20" s="3" customFormat="1" outlineLevel="1" x14ac:dyDescent="0.45"/>
    <row r="291" spans="1:20" s="3" customFormat="1" outlineLevel="1" x14ac:dyDescent="0.45">
      <c r="A291" s="1" t="s">
        <v>148</v>
      </c>
      <c r="B291" s="64" t="s">
        <v>311</v>
      </c>
      <c r="D291" s="520">
        <f>$D$251</f>
        <v>10</v>
      </c>
      <c r="K291" s="64" t="s">
        <v>1411</v>
      </c>
      <c r="L291" s="519">
        <v>0.5</v>
      </c>
      <c r="M291" s="519">
        <v>1</v>
      </c>
      <c r="N291" s="519">
        <v>1</v>
      </c>
      <c r="O291" s="519">
        <v>1</v>
      </c>
      <c r="P291" s="519">
        <v>1</v>
      </c>
      <c r="Q291" s="519">
        <v>1</v>
      </c>
      <c r="R291" s="519">
        <v>1</v>
      </c>
    </row>
    <row r="292" spans="1:20" s="3" customFormat="1" outlineLevel="1" x14ac:dyDescent="0.45"/>
    <row r="293" spans="1:20" s="3" customFormat="1" outlineLevel="1" x14ac:dyDescent="0.45">
      <c r="B293" s="3" t="s">
        <v>312</v>
      </c>
      <c r="G293" s="160"/>
      <c r="H293" s="160"/>
      <c r="I293" s="160"/>
      <c r="J293" s="160"/>
      <c r="K293" s="160"/>
      <c r="L293" s="546">
        <f>K251</f>
        <v>7432</v>
      </c>
      <c r="M293" s="546">
        <f t="shared" ref="M293" si="289">L296</f>
        <v>8179.2302300706669</v>
      </c>
      <c r="N293" s="546">
        <f t="shared" ref="N293" si="290">M296</f>
        <v>8492.1383115273293</v>
      </c>
      <c r="O293" s="546">
        <f t="shared" ref="O293" si="291">N296</f>
        <v>8819.5030959264514</v>
      </c>
      <c r="P293" s="546">
        <f t="shared" ref="P293" si="292">O296</f>
        <v>9181.2632738451939</v>
      </c>
      <c r="Q293" s="546">
        <f t="shared" ref="Q293" si="293">P296</f>
        <v>9372.4222212131444</v>
      </c>
      <c r="R293" s="546">
        <f t="shared" ref="R293" si="294">Q296</f>
        <v>9843.0747656463373</v>
      </c>
      <c r="S293" s="160"/>
      <c r="T293" s="160"/>
    </row>
    <row r="294" spans="1:20" s="3" customFormat="1" outlineLevel="1" x14ac:dyDescent="0.45">
      <c r="B294" s="3" t="s">
        <v>309</v>
      </c>
      <c r="G294" s="160"/>
      <c r="H294" s="160"/>
      <c r="I294" s="160"/>
      <c r="J294" s="160"/>
      <c r="K294" s="160"/>
      <c r="L294" s="546">
        <f>L265</f>
        <v>1177.7160316533334</v>
      </c>
      <c r="M294" s="546">
        <f t="shared" ref="M294:R294" si="295">M265</f>
        <v>1304.3107606911067</v>
      </c>
      <c r="N294" s="546">
        <f t="shared" si="295"/>
        <v>1465.2971818150722</v>
      </c>
      <c r="O294" s="546">
        <f t="shared" si="295"/>
        <v>1666.3250837052155</v>
      </c>
      <c r="P294" s="546">
        <f t="shared" si="295"/>
        <v>1904.5915160761849</v>
      </c>
      <c r="Q294" s="546">
        <f t="shared" si="295"/>
        <v>2184.085113141427</v>
      </c>
      <c r="R294" s="546">
        <f t="shared" si="295"/>
        <v>2521.3849434260123</v>
      </c>
      <c r="S294" s="160"/>
      <c r="T294" s="160"/>
    </row>
    <row r="295" spans="1:20" s="3" customFormat="1" outlineLevel="1" x14ac:dyDescent="0.45">
      <c r="B295" s="3" t="s">
        <v>313</v>
      </c>
      <c r="G295" s="160"/>
      <c r="H295" s="160"/>
      <c r="I295" s="160"/>
      <c r="J295" s="160"/>
      <c r="K295" s="160"/>
      <c r="L295" s="552">
        <f>L306*L291</f>
        <v>-430.48580158266668</v>
      </c>
      <c r="M295" s="552">
        <f t="shared" ref="M295:R295" si="296">M306*M291</f>
        <v>-991.40267923444401</v>
      </c>
      <c r="N295" s="552">
        <f t="shared" si="296"/>
        <v>-1137.9323974159513</v>
      </c>
      <c r="O295" s="552">
        <f t="shared" si="296"/>
        <v>-1304.5649057864728</v>
      </c>
      <c r="P295" s="552">
        <f t="shared" si="296"/>
        <v>-1713.4325687082339</v>
      </c>
      <c r="Q295" s="552">
        <f t="shared" si="296"/>
        <v>-1713.4325687082339</v>
      </c>
      <c r="R295" s="552">
        <f t="shared" si="296"/>
        <v>-1965.5710630508352</v>
      </c>
      <c r="S295" s="160"/>
      <c r="T295" s="160"/>
    </row>
    <row r="296" spans="1:20" s="3" customFormat="1" outlineLevel="1" x14ac:dyDescent="0.45">
      <c r="B296" s="3" t="s">
        <v>314</v>
      </c>
      <c r="G296" s="160"/>
      <c r="H296" s="160"/>
      <c r="I296" s="160"/>
      <c r="J296" s="160"/>
      <c r="K296" s="160"/>
      <c r="L296" s="546">
        <f t="shared" ref="L296:R296" si="297">SUM(L293:L295)</f>
        <v>8179.2302300706669</v>
      </c>
      <c r="M296" s="546">
        <f t="shared" si="297"/>
        <v>8492.1383115273293</v>
      </c>
      <c r="N296" s="546">
        <f t="shared" si="297"/>
        <v>8819.5030959264514</v>
      </c>
      <c r="O296" s="546">
        <f t="shared" si="297"/>
        <v>9181.2632738451939</v>
      </c>
      <c r="P296" s="546">
        <f t="shared" si="297"/>
        <v>9372.4222212131444</v>
      </c>
      <c r="Q296" s="546">
        <f t="shared" si="297"/>
        <v>9843.0747656463373</v>
      </c>
      <c r="R296" s="546">
        <f t="shared" si="297"/>
        <v>10398.888646021514</v>
      </c>
      <c r="S296" s="160"/>
      <c r="T296" s="160"/>
    </row>
    <row r="297" spans="1:20" s="3" customFormat="1" outlineLevel="1" x14ac:dyDescent="0.45">
      <c r="B297" s="165" t="s">
        <v>315</v>
      </c>
      <c r="C297" s="166" t="s">
        <v>309</v>
      </c>
      <c r="D297" s="166" t="s">
        <v>316</v>
      </c>
      <c r="K297" s="166" t="s">
        <v>317</v>
      </c>
      <c r="S297" s="160"/>
      <c r="T297" s="160"/>
    </row>
    <row r="298" spans="1:20" s="3" customFormat="1" outlineLevel="1" x14ac:dyDescent="0.45">
      <c r="B298" s="167">
        <v>2023</v>
      </c>
      <c r="C298" s="546">
        <f>L293</f>
        <v>7432</v>
      </c>
      <c r="D298" s="168">
        <f>B298+$D$291</f>
        <v>2033</v>
      </c>
      <c r="G298" s="160"/>
      <c r="H298" s="160"/>
      <c r="I298" s="160"/>
      <c r="J298" s="160"/>
      <c r="K298" s="546">
        <f>-C298/$D$291</f>
        <v>-743.2</v>
      </c>
      <c r="L298" s="581">
        <f>$K$298</f>
        <v>-743.2</v>
      </c>
      <c r="M298" s="581">
        <f t="shared" ref="M298:R298" si="298">$K$298</f>
        <v>-743.2</v>
      </c>
      <c r="N298" s="581">
        <f t="shared" si="298"/>
        <v>-743.2</v>
      </c>
      <c r="O298" s="581">
        <f t="shared" si="298"/>
        <v>-743.2</v>
      </c>
      <c r="P298" s="581">
        <f t="shared" si="298"/>
        <v>-743.2</v>
      </c>
      <c r="Q298" s="581">
        <f t="shared" si="298"/>
        <v>-743.2</v>
      </c>
      <c r="R298" s="581">
        <f t="shared" si="298"/>
        <v>-743.2</v>
      </c>
      <c r="S298" s="160"/>
      <c r="T298" s="160"/>
    </row>
    <row r="299" spans="1:20" s="3" customFormat="1" outlineLevel="1" x14ac:dyDescent="0.45">
      <c r="B299" s="169">
        <f>B298+1</f>
        <v>2024</v>
      </c>
      <c r="C299" s="546">
        <f>L294</f>
        <v>1177.7160316533334</v>
      </c>
      <c r="D299" s="168">
        <f t="shared" ref="D299:D305" si="299">B299+$D$291</f>
        <v>2034</v>
      </c>
      <c r="G299" s="160"/>
      <c r="H299" s="160"/>
      <c r="I299" s="160"/>
      <c r="J299" s="160"/>
      <c r="K299" s="546">
        <f t="shared" ref="K299:K305" si="300">-C299/$D$291</f>
        <v>-117.77160316533335</v>
      </c>
      <c r="L299" s="581">
        <f>$K$299</f>
        <v>-117.77160316533335</v>
      </c>
      <c r="M299" s="581">
        <f t="shared" ref="M299:R299" si="301">$K$299</f>
        <v>-117.77160316533335</v>
      </c>
      <c r="N299" s="581">
        <f t="shared" si="301"/>
        <v>-117.77160316533335</v>
      </c>
      <c r="O299" s="581">
        <f t="shared" si="301"/>
        <v>-117.77160316533335</v>
      </c>
      <c r="P299" s="581">
        <f t="shared" si="301"/>
        <v>-117.77160316533335</v>
      </c>
      <c r="Q299" s="581">
        <f t="shared" si="301"/>
        <v>-117.77160316533335</v>
      </c>
      <c r="R299" s="581">
        <f t="shared" si="301"/>
        <v>-117.77160316533335</v>
      </c>
      <c r="S299" s="160"/>
      <c r="T299" s="160"/>
    </row>
    <row r="300" spans="1:20" s="3" customFormat="1" outlineLevel="1" x14ac:dyDescent="0.45">
      <c r="B300" s="173">
        <f t="shared" ref="B300:B305" si="302">B299+1</f>
        <v>2025</v>
      </c>
      <c r="C300" s="546">
        <f>M294</f>
        <v>1304.3107606911067</v>
      </c>
      <c r="D300" s="168">
        <f t="shared" si="299"/>
        <v>2035</v>
      </c>
      <c r="G300" s="160"/>
      <c r="H300" s="160"/>
      <c r="I300" s="160"/>
      <c r="J300" s="160"/>
      <c r="K300" s="546">
        <f t="shared" si="300"/>
        <v>-130.43107606911067</v>
      </c>
      <c r="L300" s="581" t="s">
        <v>108</v>
      </c>
      <c r="M300" s="581">
        <f>$K$300</f>
        <v>-130.43107606911067</v>
      </c>
      <c r="N300" s="581">
        <f t="shared" ref="N300:R300" si="303">$K$300</f>
        <v>-130.43107606911067</v>
      </c>
      <c r="O300" s="581">
        <f t="shared" si="303"/>
        <v>-130.43107606911067</v>
      </c>
      <c r="P300" s="581">
        <f t="shared" si="303"/>
        <v>-130.43107606911067</v>
      </c>
      <c r="Q300" s="581">
        <f t="shared" si="303"/>
        <v>-130.43107606911067</v>
      </c>
      <c r="R300" s="581">
        <f t="shared" si="303"/>
        <v>-130.43107606911067</v>
      </c>
      <c r="S300" s="160"/>
      <c r="T300" s="160"/>
    </row>
    <row r="301" spans="1:20" s="3" customFormat="1" outlineLevel="1" x14ac:dyDescent="0.45">
      <c r="B301" s="173">
        <f t="shared" si="302"/>
        <v>2026</v>
      </c>
      <c r="C301" s="546">
        <f>N294</f>
        <v>1465.2971818150722</v>
      </c>
      <c r="D301" s="168">
        <f t="shared" si="299"/>
        <v>2036</v>
      </c>
      <c r="G301" s="160"/>
      <c r="H301" s="160"/>
      <c r="I301" s="160"/>
      <c r="J301" s="160"/>
      <c r="K301" s="546">
        <f t="shared" si="300"/>
        <v>-146.52971818150723</v>
      </c>
      <c r="L301" s="581" t="s">
        <v>108</v>
      </c>
      <c r="M301" s="581" t="s">
        <v>108</v>
      </c>
      <c r="N301" s="581">
        <f>$K$301</f>
        <v>-146.52971818150723</v>
      </c>
      <c r="O301" s="581">
        <f t="shared" ref="O301:R301" si="304">$K$301</f>
        <v>-146.52971818150723</v>
      </c>
      <c r="P301" s="581">
        <f t="shared" si="304"/>
        <v>-146.52971818150723</v>
      </c>
      <c r="Q301" s="581">
        <f t="shared" si="304"/>
        <v>-146.52971818150723</v>
      </c>
      <c r="R301" s="581">
        <f t="shared" si="304"/>
        <v>-146.52971818150723</v>
      </c>
      <c r="S301" s="160"/>
      <c r="T301" s="160"/>
    </row>
    <row r="302" spans="1:20" s="3" customFormat="1" outlineLevel="1" x14ac:dyDescent="0.45">
      <c r="B302" s="173">
        <f t="shared" si="302"/>
        <v>2027</v>
      </c>
      <c r="C302" s="546">
        <f>O294</f>
        <v>1666.3250837052155</v>
      </c>
      <c r="D302" s="168">
        <f t="shared" si="299"/>
        <v>2037</v>
      </c>
      <c r="G302" s="160"/>
      <c r="H302" s="160"/>
      <c r="I302" s="160"/>
      <c r="J302" s="160"/>
      <c r="K302" s="546">
        <f t="shared" si="300"/>
        <v>-166.63250837052155</v>
      </c>
      <c r="L302" s="581" t="s">
        <v>108</v>
      </c>
      <c r="M302" s="581" t="s">
        <v>108</v>
      </c>
      <c r="N302" s="581" t="s">
        <v>108</v>
      </c>
      <c r="O302" s="581">
        <f>$K$302</f>
        <v>-166.63250837052155</v>
      </c>
      <c r="P302" s="581">
        <f t="shared" ref="P302:R302" si="305">$K$302</f>
        <v>-166.63250837052155</v>
      </c>
      <c r="Q302" s="581">
        <f t="shared" si="305"/>
        <v>-166.63250837052155</v>
      </c>
      <c r="R302" s="581">
        <f t="shared" si="305"/>
        <v>-166.63250837052155</v>
      </c>
      <c r="S302" s="160"/>
      <c r="T302" s="160"/>
    </row>
    <row r="303" spans="1:20" s="3" customFormat="1" outlineLevel="1" x14ac:dyDescent="0.45">
      <c r="B303" s="173">
        <f t="shared" si="302"/>
        <v>2028</v>
      </c>
      <c r="C303" s="546">
        <f>P294</f>
        <v>1904.5915160761849</v>
      </c>
      <c r="D303" s="168">
        <f t="shared" si="299"/>
        <v>2038</v>
      </c>
      <c r="G303" s="160"/>
      <c r="H303" s="160"/>
      <c r="I303" s="160"/>
      <c r="J303" s="160"/>
      <c r="K303" s="546">
        <f t="shared" si="300"/>
        <v>-190.45915160761848</v>
      </c>
      <c r="L303" s="581" t="s">
        <v>108</v>
      </c>
      <c r="M303" s="581" t="s">
        <v>108</v>
      </c>
      <c r="N303" s="581" t="s">
        <v>108</v>
      </c>
      <c r="O303" s="581" t="s">
        <v>108</v>
      </c>
      <c r="P303" s="581">
        <f>$K$303</f>
        <v>-190.45915160761848</v>
      </c>
      <c r="Q303" s="581">
        <f t="shared" ref="Q303:R303" si="306">$K$303</f>
        <v>-190.45915160761848</v>
      </c>
      <c r="R303" s="581">
        <f t="shared" si="306"/>
        <v>-190.45915160761848</v>
      </c>
      <c r="S303" s="160"/>
      <c r="T303" s="160"/>
    </row>
    <row r="304" spans="1:20" s="3" customFormat="1" outlineLevel="1" x14ac:dyDescent="0.45">
      <c r="B304" s="173">
        <f t="shared" si="302"/>
        <v>2029</v>
      </c>
      <c r="C304" s="546">
        <f>Q294</f>
        <v>2184.085113141427</v>
      </c>
      <c r="D304" s="168">
        <f t="shared" si="299"/>
        <v>2039</v>
      </c>
      <c r="G304" s="160"/>
      <c r="H304" s="160"/>
      <c r="I304" s="160"/>
      <c r="J304" s="160"/>
      <c r="K304" s="546">
        <f t="shared" si="300"/>
        <v>-218.40851131414269</v>
      </c>
      <c r="L304" s="581" t="s">
        <v>108</v>
      </c>
      <c r="M304" s="581" t="s">
        <v>108</v>
      </c>
      <c r="N304" s="581" t="s">
        <v>108</v>
      </c>
      <c r="O304" s="581" t="s">
        <v>108</v>
      </c>
      <c r="P304" s="581">
        <f>$K$304</f>
        <v>-218.40851131414269</v>
      </c>
      <c r="Q304" s="581">
        <f t="shared" ref="Q304:R304" si="307">$K$304</f>
        <v>-218.40851131414269</v>
      </c>
      <c r="R304" s="581">
        <f t="shared" si="307"/>
        <v>-218.40851131414269</v>
      </c>
      <c r="S304" s="160"/>
      <c r="T304" s="160"/>
    </row>
    <row r="305" spans="1:20" s="3" customFormat="1" outlineLevel="1" x14ac:dyDescent="0.45">
      <c r="B305" s="173">
        <f t="shared" si="302"/>
        <v>2030</v>
      </c>
      <c r="C305" s="546">
        <f>R294</f>
        <v>2521.3849434260123</v>
      </c>
      <c r="D305" s="168">
        <f t="shared" si="299"/>
        <v>2040</v>
      </c>
      <c r="G305" s="160"/>
      <c r="H305" s="160"/>
      <c r="I305" s="160"/>
      <c r="J305" s="160"/>
      <c r="K305" s="546">
        <f t="shared" si="300"/>
        <v>-252.13849434260123</v>
      </c>
      <c r="L305" s="582" t="s">
        <v>108</v>
      </c>
      <c r="M305" s="582" t="s">
        <v>108</v>
      </c>
      <c r="N305" s="582" t="s">
        <v>108</v>
      </c>
      <c r="O305" s="582" t="s">
        <v>108</v>
      </c>
      <c r="P305" s="582" t="s">
        <v>108</v>
      </c>
      <c r="Q305" s="582" t="s">
        <v>108</v>
      </c>
      <c r="R305" s="582">
        <f>$K$305</f>
        <v>-252.13849434260123</v>
      </c>
      <c r="S305" s="160"/>
      <c r="T305" s="160"/>
    </row>
    <row r="306" spans="1:20" s="3" customFormat="1" outlineLevel="1" x14ac:dyDescent="0.45">
      <c r="B306" s="64" t="s">
        <v>313</v>
      </c>
      <c r="J306" s="161"/>
      <c r="K306" s="546">
        <f>SUM(K298:K305)</f>
        <v>-1965.5710630508352</v>
      </c>
      <c r="L306" s="581">
        <f>SUM(L298:L305)</f>
        <v>-860.97160316533336</v>
      </c>
      <c r="M306" s="581">
        <f>SUM(M298:M305)</f>
        <v>-991.40267923444401</v>
      </c>
      <c r="N306" s="581">
        <f t="shared" ref="N306" si="308">SUM(N298:N305)</f>
        <v>-1137.9323974159513</v>
      </c>
      <c r="O306" s="581">
        <f t="shared" ref="O306" si="309">SUM(O298:O305)</f>
        <v>-1304.5649057864728</v>
      </c>
      <c r="P306" s="581">
        <f t="shared" ref="P306" si="310">SUM(P298:P305)</f>
        <v>-1713.4325687082339</v>
      </c>
      <c r="Q306" s="581">
        <f t="shared" ref="Q306" si="311">SUM(Q298:Q305)</f>
        <v>-1713.4325687082339</v>
      </c>
      <c r="R306" s="581">
        <f t="shared" ref="R306" si="312">SUM(R298:R305)</f>
        <v>-1965.5710630508352</v>
      </c>
      <c r="S306" s="160"/>
      <c r="T306" s="160"/>
    </row>
    <row r="307" spans="1:20" s="3" customFormat="1" outlineLevel="1" x14ac:dyDescent="0.45"/>
    <row r="308" spans="1:20" s="3" customFormat="1" outlineLevel="1" x14ac:dyDescent="0.45">
      <c r="A308" s="1" t="s">
        <v>148</v>
      </c>
      <c r="B308" s="163" t="s">
        <v>319</v>
      </c>
      <c r="C308" s="164"/>
      <c r="D308" s="164"/>
      <c r="E308" s="164"/>
      <c r="F308" s="164"/>
      <c r="G308" s="164"/>
      <c r="H308" s="164"/>
      <c r="I308" s="164"/>
      <c r="J308" s="164"/>
      <c r="K308" s="164"/>
      <c r="L308" s="164"/>
      <c r="M308" s="164"/>
      <c r="N308" s="164"/>
      <c r="O308" s="164"/>
      <c r="P308" s="164"/>
      <c r="Q308" s="164"/>
      <c r="R308" s="164"/>
      <c r="S308" s="164"/>
      <c r="T308" s="164"/>
    </row>
    <row r="309" spans="1:20" s="3" customFormat="1" outlineLevel="1" x14ac:dyDescent="0.45"/>
    <row r="310" spans="1:20" s="3" customFormat="1" outlineLevel="1" x14ac:dyDescent="0.45">
      <c r="A310" s="1" t="s">
        <v>148</v>
      </c>
      <c r="B310" s="64" t="s">
        <v>311</v>
      </c>
      <c r="D310" s="520">
        <f>$D$252</f>
        <v>10</v>
      </c>
      <c r="K310" s="64" t="s">
        <v>1411</v>
      </c>
      <c r="L310" s="519">
        <v>0.5</v>
      </c>
      <c r="M310" s="519">
        <v>1</v>
      </c>
      <c r="N310" s="519">
        <v>1</v>
      </c>
      <c r="O310" s="519">
        <v>1</v>
      </c>
      <c r="P310" s="519">
        <v>1</v>
      </c>
      <c r="Q310" s="519">
        <v>1</v>
      </c>
      <c r="R310" s="519">
        <v>1</v>
      </c>
    </row>
    <row r="311" spans="1:20" s="3" customFormat="1" outlineLevel="1" x14ac:dyDescent="0.45"/>
    <row r="312" spans="1:20" s="3" customFormat="1" outlineLevel="1" x14ac:dyDescent="0.45">
      <c r="B312" s="3" t="s">
        <v>312</v>
      </c>
      <c r="G312" s="160"/>
      <c r="H312" s="160"/>
      <c r="I312" s="160"/>
      <c r="J312" s="160"/>
      <c r="K312" s="160"/>
      <c r="L312" s="546">
        <f>K252</f>
        <v>76045</v>
      </c>
      <c r="M312" s="546">
        <f t="shared" ref="M312" si="313">L315</f>
        <v>89025.203451059991</v>
      </c>
      <c r="N312" s="546">
        <f t="shared" ref="N312" si="314">M315</f>
        <v>97262.324672909919</v>
      </c>
      <c r="O312" s="546">
        <f t="shared" ref="O312" si="315">N315</f>
        <v>105716.29643889674</v>
      </c>
      <c r="P312" s="546">
        <f t="shared" ref="P312" si="316">O315</f>
        <v>114686.19910767788</v>
      </c>
      <c r="Q312" s="546">
        <f t="shared" ref="Q312" si="317">P315</f>
        <v>124373.21098790929</v>
      </c>
      <c r="R312" s="546">
        <f t="shared" ref="R312" si="318">Q315</f>
        <v>134976.49915440718</v>
      </c>
      <c r="S312" s="160"/>
      <c r="T312" s="160"/>
    </row>
    <row r="313" spans="1:20" s="3" customFormat="1" outlineLevel="1" x14ac:dyDescent="0.45">
      <c r="B313" s="3" t="s">
        <v>309</v>
      </c>
      <c r="G313" s="160"/>
      <c r="H313" s="160"/>
      <c r="I313" s="160"/>
      <c r="J313" s="160"/>
      <c r="K313" s="160"/>
      <c r="L313" s="546">
        <f>L266</f>
        <v>17665.740474800001</v>
      </c>
      <c r="M313" s="546">
        <f t="shared" ref="M313:R313" si="319">M266</f>
        <v>19564.6614103666</v>
      </c>
      <c r="N313" s="546">
        <f t="shared" si="319"/>
        <v>21979.457727226083</v>
      </c>
      <c r="O313" s="546">
        <f t="shared" si="319"/>
        <v>24994.87625557823</v>
      </c>
      <c r="P313" s="546">
        <f t="shared" si="319"/>
        <v>28568.872741142772</v>
      </c>
      <c r="Q313" s="546">
        <f t="shared" si="319"/>
        <v>32761.276697121401</v>
      </c>
      <c r="R313" s="546">
        <f t="shared" si="319"/>
        <v>37820.774151390186</v>
      </c>
      <c r="S313" s="160"/>
      <c r="T313" s="160"/>
    </row>
    <row r="314" spans="1:20" s="3" customFormat="1" outlineLevel="1" x14ac:dyDescent="0.45">
      <c r="B314" s="3" t="s">
        <v>313</v>
      </c>
      <c r="G314" s="160"/>
      <c r="H314" s="160"/>
      <c r="I314" s="160"/>
      <c r="J314" s="160"/>
      <c r="K314" s="160"/>
      <c r="L314" s="552">
        <f>L325*L310</f>
        <v>-4685.5370237400002</v>
      </c>
      <c r="M314" s="552">
        <f t="shared" ref="M314:R314" si="320">M325*M310</f>
        <v>-11327.540188516661</v>
      </c>
      <c r="N314" s="552">
        <f t="shared" si="320"/>
        <v>-13525.485961239268</v>
      </c>
      <c r="O314" s="552">
        <f t="shared" si="320"/>
        <v>-16024.973586797092</v>
      </c>
      <c r="P314" s="552">
        <f t="shared" si="320"/>
        <v>-18881.860860911369</v>
      </c>
      <c r="Q314" s="552">
        <f t="shared" si="320"/>
        <v>-22157.988530623508</v>
      </c>
      <c r="R314" s="552">
        <f t="shared" si="320"/>
        <v>-25940.065945762526</v>
      </c>
      <c r="S314" s="160"/>
      <c r="T314" s="160"/>
    </row>
    <row r="315" spans="1:20" s="3" customFormat="1" outlineLevel="1" x14ac:dyDescent="0.45">
      <c r="B315" s="3" t="s">
        <v>314</v>
      </c>
      <c r="G315" s="160"/>
      <c r="H315" s="160"/>
      <c r="I315" s="160"/>
      <c r="J315" s="160"/>
      <c r="K315" s="160"/>
      <c r="L315" s="546">
        <f t="shared" ref="L315:R315" si="321">SUM(L312:L314)</f>
        <v>89025.203451059991</v>
      </c>
      <c r="M315" s="546">
        <f t="shared" si="321"/>
        <v>97262.324672909919</v>
      </c>
      <c r="N315" s="546">
        <f t="shared" si="321"/>
        <v>105716.29643889674</v>
      </c>
      <c r="O315" s="546">
        <f t="shared" si="321"/>
        <v>114686.19910767788</v>
      </c>
      <c r="P315" s="546">
        <f t="shared" si="321"/>
        <v>124373.21098790929</v>
      </c>
      <c r="Q315" s="546">
        <f t="shared" si="321"/>
        <v>134976.49915440718</v>
      </c>
      <c r="R315" s="546">
        <f t="shared" si="321"/>
        <v>146857.20736003484</v>
      </c>
      <c r="S315" s="160"/>
      <c r="T315" s="160"/>
    </row>
    <row r="316" spans="1:20" s="3" customFormat="1" outlineLevel="1" x14ac:dyDescent="0.45">
      <c r="B316" s="165" t="s">
        <v>315</v>
      </c>
      <c r="C316" s="166" t="s">
        <v>309</v>
      </c>
      <c r="D316" s="166" t="s">
        <v>316</v>
      </c>
      <c r="K316" s="166" t="s">
        <v>317</v>
      </c>
      <c r="S316" s="160"/>
      <c r="T316" s="160"/>
    </row>
    <row r="317" spans="1:20" s="3" customFormat="1" outlineLevel="1" x14ac:dyDescent="0.45">
      <c r="B317" s="167">
        <v>2023</v>
      </c>
      <c r="C317" s="546">
        <f>L312</f>
        <v>76045</v>
      </c>
      <c r="D317" s="168">
        <f>B317+$D$310</f>
        <v>2033</v>
      </c>
      <c r="G317" s="160"/>
      <c r="H317" s="160"/>
      <c r="I317" s="160"/>
      <c r="J317" s="160"/>
      <c r="K317" s="546">
        <f>-C317/$D$310</f>
        <v>-7604.5</v>
      </c>
      <c r="L317" s="581">
        <f>$K$317</f>
        <v>-7604.5</v>
      </c>
      <c r="M317" s="581">
        <f t="shared" ref="M317:R317" si="322">$K$317</f>
        <v>-7604.5</v>
      </c>
      <c r="N317" s="581">
        <f t="shared" si="322"/>
        <v>-7604.5</v>
      </c>
      <c r="O317" s="581">
        <f t="shared" si="322"/>
        <v>-7604.5</v>
      </c>
      <c r="P317" s="581">
        <f t="shared" si="322"/>
        <v>-7604.5</v>
      </c>
      <c r="Q317" s="581">
        <f t="shared" si="322"/>
        <v>-7604.5</v>
      </c>
      <c r="R317" s="581">
        <f t="shared" si="322"/>
        <v>-7604.5</v>
      </c>
      <c r="S317" s="160"/>
      <c r="T317" s="160"/>
    </row>
    <row r="318" spans="1:20" s="3" customFormat="1" outlineLevel="1" x14ac:dyDescent="0.45">
      <c r="B318" s="169">
        <f>B317+1</f>
        <v>2024</v>
      </c>
      <c r="C318" s="546">
        <f>L313</f>
        <v>17665.740474800001</v>
      </c>
      <c r="D318" s="168">
        <f t="shared" ref="D318:D324" si="323">B318+$D$310</f>
        <v>2034</v>
      </c>
      <c r="G318" s="160"/>
      <c r="H318" s="160"/>
      <c r="I318" s="160"/>
      <c r="J318" s="160"/>
      <c r="K318" s="546">
        <f t="shared" ref="K318:K324" si="324">-C318/$D$310</f>
        <v>-1766.57404748</v>
      </c>
      <c r="L318" s="581">
        <f>$K$318</f>
        <v>-1766.57404748</v>
      </c>
      <c r="M318" s="581">
        <f t="shared" ref="M318:R318" si="325">$K$318</f>
        <v>-1766.57404748</v>
      </c>
      <c r="N318" s="581">
        <f t="shared" si="325"/>
        <v>-1766.57404748</v>
      </c>
      <c r="O318" s="581">
        <f t="shared" si="325"/>
        <v>-1766.57404748</v>
      </c>
      <c r="P318" s="581">
        <f t="shared" si="325"/>
        <v>-1766.57404748</v>
      </c>
      <c r="Q318" s="581">
        <f t="shared" si="325"/>
        <v>-1766.57404748</v>
      </c>
      <c r="R318" s="581">
        <f t="shared" si="325"/>
        <v>-1766.57404748</v>
      </c>
      <c r="S318" s="160"/>
      <c r="T318" s="160"/>
    </row>
    <row r="319" spans="1:20" s="3" customFormat="1" outlineLevel="1" x14ac:dyDescent="0.45">
      <c r="B319" s="173">
        <f t="shared" ref="B319:B324" si="326">B318+1</f>
        <v>2025</v>
      </c>
      <c r="C319" s="546">
        <f>M313</f>
        <v>19564.6614103666</v>
      </c>
      <c r="D319" s="168">
        <f t="shared" si="323"/>
        <v>2035</v>
      </c>
      <c r="G319" s="160"/>
      <c r="H319" s="160"/>
      <c r="I319" s="160"/>
      <c r="J319" s="160"/>
      <c r="K319" s="546">
        <f t="shared" si="324"/>
        <v>-1956.46614103666</v>
      </c>
      <c r="L319" s="581" t="s">
        <v>108</v>
      </c>
      <c r="M319" s="581">
        <f>$K$319</f>
        <v>-1956.46614103666</v>
      </c>
      <c r="N319" s="581">
        <f t="shared" ref="N319:R319" si="327">$K$319</f>
        <v>-1956.46614103666</v>
      </c>
      <c r="O319" s="581">
        <f t="shared" si="327"/>
        <v>-1956.46614103666</v>
      </c>
      <c r="P319" s="581">
        <f t="shared" si="327"/>
        <v>-1956.46614103666</v>
      </c>
      <c r="Q319" s="581">
        <f t="shared" si="327"/>
        <v>-1956.46614103666</v>
      </c>
      <c r="R319" s="581">
        <f t="shared" si="327"/>
        <v>-1956.46614103666</v>
      </c>
      <c r="S319" s="160"/>
      <c r="T319" s="160"/>
    </row>
    <row r="320" spans="1:20" s="3" customFormat="1" outlineLevel="1" x14ac:dyDescent="0.45">
      <c r="B320" s="173">
        <f t="shared" si="326"/>
        <v>2026</v>
      </c>
      <c r="C320" s="546">
        <f>N313</f>
        <v>21979.457727226083</v>
      </c>
      <c r="D320" s="168">
        <f t="shared" si="323"/>
        <v>2036</v>
      </c>
      <c r="G320" s="160"/>
      <c r="H320" s="160"/>
      <c r="I320" s="160"/>
      <c r="J320" s="160"/>
      <c r="K320" s="546">
        <f t="shared" si="324"/>
        <v>-2197.9457727226081</v>
      </c>
      <c r="L320" s="581" t="s">
        <v>108</v>
      </c>
      <c r="M320" s="581" t="s">
        <v>108</v>
      </c>
      <c r="N320" s="581">
        <f>$K$320</f>
        <v>-2197.9457727226081</v>
      </c>
      <c r="O320" s="581">
        <f t="shared" ref="O320:R320" si="328">$K$320</f>
        <v>-2197.9457727226081</v>
      </c>
      <c r="P320" s="581">
        <f t="shared" si="328"/>
        <v>-2197.9457727226081</v>
      </c>
      <c r="Q320" s="581">
        <f t="shared" si="328"/>
        <v>-2197.9457727226081</v>
      </c>
      <c r="R320" s="581">
        <f t="shared" si="328"/>
        <v>-2197.9457727226081</v>
      </c>
      <c r="S320" s="160"/>
      <c r="T320" s="160"/>
    </row>
    <row r="321" spans="1:20" s="3" customFormat="1" outlineLevel="1" x14ac:dyDescent="0.45">
      <c r="B321" s="173">
        <f t="shared" si="326"/>
        <v>2027</v>
      </c>
      <c r="C321" s="546">
        <f>O313</f>
        <v>24994.87625557823</v>
      </c>
      <c r="D321" s="168">
        <f t="shared" si="323"/>
        <v>2037</v>
      </c>
      <c r="G321" s="160"/>
      <c r="H321" s="160"/>
      <c r="I321" s="160"/>
      <c r="J321" s="160"/>
      <c r="K321" s="546">
        <f t="shared" si="324"/>
        <v>-2499.4876255578229</v>
      </c>
      <c r="L321" s="581" t="s">
        <v>108</v>
      </c>
      <c r="M321" s="581" t="s">
        <v>108</v>
      </c>
      <c r="N321" s="581" t="s">
        <v>108</v>
      </c>
      <c r="O321" s="581">
        <f>$K$321</f>
        <v>-2499.4876255578229</v>
      </c>
      <c r="P321" s="581">
        <f t="shared" ref="P321:R321" si="329">$K$321</f>
        <v>-2499.4876255578229</v>
      </c>
      <c r="Q321" s="581">
        <f t="shared" si="329"/>
        <v>-2499.4876255578229</v>
      </c>
      <c r="R321" s="581">
        <f t="shared" si="329"/>
        <v>-2499.4876255578229</v>
      </c>
      <c r="S321" s="160"/>
      <c r="T321" s="160"/>
    </row>
    <row r="322" spans="1:20" s="3" customFormat="1" outlineLevel="1" x14ac:dyDescent="0.45">
      <c r="B322" s="173">
        <f t="shared" si="326"/>
        <v>2028</v>
      </c>
      <c r="C322" s="546">
        <f>P313</f>
        <v>28568.872741142772</v>
      </c>
      <c r="D322" s="168">
        <f t="shared" si="323"/>
        <v>2038</v>
      </c>
      <c r="G322" s="160"/>
      <c r="H322" s="160"/>
      <c r="I322" s="160"/>
      <c r="J322" s="160"/>
      <c r="K322" s="546">
        <f t="shared" si="324"/>
        <v>-2856.8872741142773</v>
      </c>
      <c r="L322" s="581" t="s">
        <v>108</v>
      </c>
      <c r="M322" s="581" t="s">
        <v>108</v>
      </c>
      <c r="N322" s="581" t="s">
        <v>108</v>
      </c>
      <c r="O322" s="581" t="s">
        <v>108</v>
      </c>
      <c r="P322" s="581">
        <f>$K$322</f>
        <v>-2856.8872741142773</v>
      </c>
      <c r="Q322" s="581">
        <f t="shared" ref="Q322:R322" si="330">$K$322</f>
        <v>-2856.8872741142773</v>
      </c>
      <c r="R322" s="581">
        <f t="shared" si="330"/>
        <v>-2856.8872741142773</v>
      </c>
      <c r="S322" s="160"/>
      <c r="T322" s="160"/>
    </row>
    <row r="323" spans="1:20" s="3" customFormat="1" outlineLevel="1" x14ac:dyDescent="0.45">
      <c r="B323" s="173">
        <f t="shared" si="326"/>
        <v>2029</v>
      </c>
      <c r="C323" s="546">
        <f>Q313</f>
        <v>32761.276697121401</v>
      </c>
      <c r="D323" s="168">
        <f t="shared" si="323"/>
        <v>2039</v>
      </c>
      <c r="G323" s="160"/>
      <c r="H323" s="160"/>
      <c r="I323" s="160"/>
      <c r="J323" s="160"/>
      <c r="K323" s="546">
        <f t="shared" si="324"/>
        <v>-3276.1276697121402</v>
      </c>
      <c r="L323" s="581" t="s">
        <v>108</v>
      </c>
      <c r="M323" s="581" t="s">
        <v>108</v>
      </c>
      <c r="N323" s="581" t="s">
        <v>108</v>
      </c>
      <c r="O323" s="581" t="s">
        <v>108</v>
      </c>
      <c r="P323" s="581" t="s">
        <v>108</v>
      </c>
      <c r="Q323" s="581">
        <f>$K$323</f>
        <v>-3276.1276697121402</v>
      </c>
      <c r="R323" s="581">
        <f>$K$323</f>
        <v>-3276.1276697121402</v>
      </c>
      <c r="S323" s="160"/>
      <c r="T323" s="160"/>
    </row>
    <row r="324" spans="1:20" s="3" customFormat="1" outlineLevel="1" x14ac:dyDescent="0.45">
      <c r="B324" s="173">
        <f t="shared" si="326"/>
        <v>2030</v>
      </c>
      <c r="C324" s="546">
        <f>R313</f>
        <v>37820.774151390186</v>
      </c>
      <c r="D324" s="168">
        <f t="shared" si="323"/>
        <v>2040</v>
      </c>
      <c r="G324" s="160"/>
      <c r="H324" s="160"/>
      <c r="I324" s="160"/>
      <c r="J324" s="160"/>
      <c r="K324" s="546">
        <f t="shared" si="324"/>
        <v>-3782.0774151390187</v>
      </c>
      <c r="L324" s="582" t="s">
        <v>108</v>
      </c>
      <c r="M324" s="582" t="s">
        <v>108</v>
      </c>
      <c r="N324" s="582" t="s">
        <v>108</v>
      </c>
      <c r="O324" s="582" t="s">
        <v>108</v>
      </c>
      <c r="P324" s="582" t="s">
        <v>108</v>
      </c>
      <c r="Q324" s="582" t="s">
        <v>108</v>
      </c>
      <c r="R324" s="582">
        <f>K324</f>
        <v>-3782.0774151390187</v>
      </c>
      <c r="S324" s="160"/>
      <c r="T324" s="160"/>
    </row>
    <row r="325" spans="1:20" s="3" customFormat="1" outlineLevel="1" x14ac:dyDescent="0.45">
      <c r="B325" s="64" t="s">
        <v>313</v>
      </c>
      <c r="J325" s="161"/>
      <c r="K325" s="546">
        <f>SUM(K317:K324)</f>
        <v>-25940.065945762526</v>
      </c>
      <c r="L325" s="581">
        <f>SUM(L317:L324)</f>
        <v>-9371.0740474800004</v>
      </c>
      <c r="M325" s="581">
        <f>SUM(M317:M324)</f>
        <v>-11327.540188516661</v>
      </c>
      <c r="N325" s="581">
        <f t="shared" ref="N325:R325" si="331">SUM(N317:N324)</f>
        <v>-13525.485961239268</v>
      </c>
      <c r="O325" s="581">
        <f t="shared" si="331"/>
        <v>-16024.973586797092</v>
      </c>
      <c r="P325" s="581">
        <f t="shared" si="331"/>
        <v>-18881.860860911369</v>
      </c>
      <c r="Q325" s="581">
        <f t="shared" si="331"/>
        <v>-22157.988530623508</v>
      </c>
      <c r="R325" s="581">
        <f t="shared" si="331"/>
        <v>-25940.065945762526</v>
      </c>
      <c r="S325" s="160"/>
      <c r="T325" s="160"/>
    </row>
    <row r="326" spans="1:20" s="3" customFormat="1" outlineLevel="1" x14ac:dyDescent="0.45"/>
    <row r="327" spans="1:20" s="3" customFormat="1" outlineLevel="1" x14ac:dyDescent="0.45">
      <c r="A327" s="1" t="s">
        <v>148</v>
      </c>
      <c r="B327" s="163" t="s">
        <v>320</v>
      </c>
      <c r="C327" s="164"/>
      <c r="D327" s="164"/>
      <c r="E327" s="164"/>
      <c r="F327" s="164"/>
      <c r="G327" s="164"/>
      <c r="H327" s="164"/>
      <c r="I327" s="164"/>
      <c r="J327" s="164"/>
      <c r="K327" s="164"/>
      <c r="L327" s="164"/>
      <c r="M327" s="164"/>
      <c r="N327" s="164"/>
      <c r="O327" s="164"/>
      <c r="P327" s="164"/>
      <c r="Q327" s="164"/>
      <c r="R327" s="164"/>
      <c r="S327" s="164"/>
      <c r="T327" s="164"/>
    </row>
    <row r="328" spans="1:20" s="3" customFormat="1" outlineLevel="1" x14ac:dyDescent="0.45"/>
    <row r="329" spans="1:20" s="3" customFormat="1" outlineLevel="1" x14ac:dyDescent="0.45">
      <c r="A329" s="1" t="s">
        <v>148</v>
      </c>
      <c r="B329" s="64" t="s">
        <v>311</v>
      </c>
      <c r="D329" s="520">
        <f>$D$253</f>
        <v>5</v>
      </c>
      <c r="K329" s="64" t="s">
        <v>1411</v>
      </c>
      <c r="L329" s="519">
        <v>0.5</v>
      </c>
      <c r="M329" s="519">
        <v>1</v>
      </c>
      <c r="N329" s="519">
        <v>1</v>
      </c>
      <c r="O329" s="519">
        <v>1</v>
      </c>
      <c r="P329" s="519">
        <v>1</v>
      </c>
      <c r="Q329" s="519">
        <v>1</v>
      </c>
      <c r="R329" s="519">
        <v>1</v>
      </c>
    </row>
    <row r="330" spans="1:20" s="3" customFormat="1" outlineLevel="1" x14ac:dyDescent="0.45"/>
    <row r="331" spans="1:20" s="3" customFormat="1" outlineLevel="1" x14ac:dyDescent="0.45">
      <c r="B331" s="3" t="s">
        <v>312</v>
      </c>
      <c r="G331" s="160"/>
      <c r="H331" s="160"/>
      <c r="I331" s="160"/>
      <c r="J331" s="160"/>
      <c r="K331" s="160"/>
      <c r="L331" s="546">
        <f>K253</f>
        <v>35384</v>
      </c>
      <c r="M331" s="546">
        <f t="shared" ref="M331" si="332">L334</f>
        <v>35025.433285464002</v>
      </c>
      <c r="N331" s="546">
        <f t="shared" ref="N331" si="333">M334</f>
        <v>30372.349492130659</v>
      </c>
      <c r="O331" s="546">
        <f t="shared" ref="O331" si="334">N334</f>
        <v>25323.046653080171</v>
      </c>
      <c r="P331" s="546">
        <f t="shared" ref="P331" si="335">O334</f>
        <v>19877.032469476981</v>
      </c>
      <c r="Q331" s="546">
        <f t="shared" ref="Q331" si="336">P334</f>
        <v>14003.062673340986</v>
      </c>
      <c r="R331" s="546">
        <f t="shared" ref="R331" si="337">Q334</f>
        <v>15440.552219507863</v>
      </c>
      <c r="S331" s="160"/>
      <c r="T331" s="160"/>
    </row>
    <row r="332" spans="1:20" s="3" customFormat="1" outlineLevel="1" x14ac:dyDescent="0.45">
      <c r="B332" s="3" t="s">
        <v>309</v>
      </c>
      <c r="G332" s="160"/>
      <c r="H332" s="160"/>
      <c r="I332" s="160"/>
      <c r="J332" s="160"/>
      <c r="K332" s="160"/>
      <c r="L332" s="546">
        <f>L267</f>
        <v>3533.1480949600004</v>
      </c>
      <c r="M332" s="546">
        <f t="shared" ref="M332:R332" si="338">M267</f>
        <v>3912.9322820733196</v>
      </c>
      <c r="N332" s="546">
        <f t="shared" si="338"/>
        <v>4395.8915454452163</v>
      </c>
      <c r="O332" s="546">
        <f t="shared" si="338"/>
        <v>4998.9752511156457</v>
      </c>
      <c r="P332" s="546">
        <f t="shared" si="338"/>
        <v>5713.7745482285545</v>
      </c>
      <c r="Q332" s="546">
        <f t="shared" si="338"/>
        <v>6552.2553394242796</v>
      </c>
      <c r="R332" s="546">
        <f t="shared" si="338"/>
        <v>7564.1548302780366</v>
      </c>
      <c r="S332" s="160"/>
      <c r="T332" s="160"/>
    </row>
    <row r="333" spans="1:20" s="3" customFormat="1" outlineLevel="1" x14ac:dyDescent="0.45">
      <c r="B333" s="3" t="s">
        <v>313</v>
      </c>
      <c r="G333" s="160"/>
      <c r="H333" s="160"/>
      <c r="I333" s="160"/>
      <c r="J333" s="160"/>
      <c r="K333" s="160"/>
      <c r="L333" s="552">
        <f>L344*L329</f>
        <v>-3891.7148094960003</v>
      </c>
      <c r="M333" s="552">
        <f t="shared" ref="M333:R333" si="339">M344*M329</f>
        <v>-8566.0160754066637</v>
      </c>
      <c r="N333" s="552">
        <f t="shared" si="339"/>
        <v>-9445.1943844957077</v>
      </c>
      <c r="O333" s="552">
        <f t="shared" si="339"/>
        <v>-10444.989434718836</v>
      </c>
      <c r="P333" s="552">
        <f t="shared" si="339"/>
        <v>-11587.744344364548</v>
      </c>
      <c r="Q333" s="552">
        <f t="shared" si="339"/>
        <v>-5114.7657932574039</v>
      </c>
      <c r="R333" s="552">
        <f t="shared" si="339"/>
        <v>-5845.0103028983467</v>
      </c>
      <c r="S333" s="160"/>
      <c r="T333" s="160"/>
    </row>
    <row r="334" spans="1:20" s="3" customFormat="1" outlineLevel="1" x14ac:dyDescent="0.45">
      <c r="B334" s="3" t="s">
        <v>314</v>
      </c>
      <c r="G334" s="160"/>
      <c r="H334" s="160"/>
      <c r="I334" s="160"/>
      <c r="J334" s="160"/>
      <c r="K334" s="160"/>
      <c r="L334" s="546">
        <f t="shared" ref="L334:R334" si="340">SUM(L331:L333)</f>
        <v>35025.433285464002</v>
      </c>
      <c r="M334" s="546">
        <f t="shared" si="340"/>
        <v>30372.349492130659</v>
      </c>
      <c r="N334" s="546">
        <f t="shared" si="340"/>
        <v>25323.046653080171</v>
      </c>
      <c r="O334" s="546">
        <f t="shared" si="340"/>
        <v>19877.032469476981</v>
      </c>
      <c r="P334" s="546">
        <f t="shared" si="340"/>
        <v>14003.062673340986</v>
      </c>
      <c r="Q334" s="546">
        <f t="shared" si="340"/>
        <v>15440.552219507863</v>
      </c>
      <c r="R334" s="546">
        <f t="shared" si="340"/>
        <v>17159.696746887552</v>
      </c>
      <c r="S334" s="160"/>
      <c r="T334" s="160"/>
    </row>
    <row r="335" spans="1:20" s="3" customFormat="1" outlineLevel="1" x14ac:dyDescent="0.45">
      <c r="B335" s="165" t="s">
        <v>315</v>
      </c>
      <c r="C335" s="166" t="s">
        <v>309</v>
      </c>
      <c r="D335" s="166" t="s">
        <v>316</v>
      </c>
      <c r="K335" s="166" t="s">
        <v>317</v>
      </c>
      <c r="S335" s="160"/>
      <c r="T335" s="160"/>
    </row>
    <row r="336" spans="1:20" s="3" customFormat="1" outlineLevel="1" x14ac:dyDescent="0.45">
      <c r="B336" s="167">
        <v>2023</v>
      </c>
      <c r="C336" s="546">
        <f>L331</f>
        <v>35384</v>
      </c>
      <c r="D336" s="168">
        <f>B336+$D$329</f>
        <v>2028</v>
      </c>
      <c r="G336" s="160"/>
      <c r="H336" s="160"/>
      <c r="I336" s="160"/>
      <c r="J336" s="160"/>
      <c r="K336" s="546">
        <f>-C336/$D$329</f>
        <v>-7076.8</v>
      </c>
      <c r="L336" s="581">
        <f>$K$336</f>
        <v>-7076.8</v>
      </c>
      <c r="M336" s="581">
        <f t="shared" ref="M336:P336" si="341">$K$336</f>
        <v>-7076.8</v>
      </c>
      <c r="N336" s="581">
        <f t="shared" si="341"/>
        <v>-7076.8</v>
      </c>
      <c r="O336" s="581">
        <f t="shared" si="341"/>
        <v>-7076.8</v>
      </c>
      <c r="P336" s="581">
        <f t="shared" si="341"/>
        <v>-7076.8</v>
      </c>
      <c r="Q336" s="581" t="s">
        <v>108</v>
      </c>
      <c r="R336" s="581" t="s">
        <v>108</v>
      </c>
      <c r="S336" s="160"/>
      <c r="T336" s="160"/>
    </row>
    <row r="337" spans="1:20" s="3" customFormat="1" outlineLevel="1" x14ac:dyDescent="0.45">
      <c r="B337" s="169">
        <f>B336+1</f>
        <v>2024</v>
      </c>
      <c r="C337" s="546">
        <f>L332</f>
        <v>3533.1480949600004</v>
      </c>
      <c r="D337" s="168">
        <f t="shared" ref="D337:D343" si="342">B337+$D$329</f>
        <v>2029</v>
      </c>
      <c r="G337" s="160"/>
      <c r="H337" s="160"/>
      <c r="I337" s="160"/>
      <c r="J337" s="160"/>
      <c r="K337" s="546">
        <f t="shared" ref="K337:K343" si="343">-C337/$D$329</f>
        <v>-706.62961899200013</v>
      </c>
      <c r="L337" s="581">
        <f>$K$337</f>
        <v>-706.62961899200013</v>
      </c>
      <c r="M337" s="581">
        <f t="shared" ref="M337:P337" si="344">$K$337</f>
        <v>-706.62961899200013</v>
      </c>
      <c r="N337" s="581">
        <f t="shared" si="344"/>
        <v>-706.62961899200013</v>
      </c>
      <c r="O337" s="581">
        <f t="shared" si="344"/>
        <v>-706.62961899200013</v>
      </c>
      <c r="P337" s="581">
        <f t="shared" si="344"/>
        <v>-706.62961899200013</v>
      </c>
      <c r="Q337" s="581" t="s">
        <v>108</v>
      </c>
      <c r="R337" s="581" t="s">
        <v>108</v>
      </c>
      <c r="S337" s="160"/>
      <c r="T337" s="160"/>
    </row>
    <row r="338" spans="1:20" s="3" customFormat="1" outlineLevel="1" x14ac:dyDescent="0.45">
      <c r="B338" s="173">
        <f t="shared" ref="B338:B343" si="345">B337+1</f>
        <v>2025</v>
      </c>
      <c r="C338" s="546">
        <f>M332</f>
        <v>3912.9322820733196</v>
      </c>
      <c r="D338" s="168">
        <f t="shared" si="342"/>
        <v>2030</v>
      </c>
      <c r="G338" s="160"/>
      <c r="H338" s="160"/>
      <c r="I338" s="160"/>
      <c r="J338" s="160"/>
      <c r="K338" s="546">
        <f t="shared" si="343"/>
        <v>-782.58645641466387</v>
      </c>
      <c r="L338" s="581" t="s">
        <v>108</v>
      </c>
      <c r="M338" s="581">
        <f>$K$338</f>
        <v>-782.58645641466387</v>
      </c>
      <c r="N338" s="581">
        <f t="shared" ref="N338:Q338" si="346">$K$338</f>
        <v>-782.58645641466387</v>
      </c>
      <c r="O338" s="581">
        <f t="shared" si="346"/>
        <v>-782.58645641466387</v>
      </c>
      <c r="P338" s="581">
        <f t="shared" si="346"/>
        <v>-782.58645641466387</v>
      </c>
      <c r="Q338" s="581">
        <f t="shared" si="346"/>
        <v>-782.58645641466387</v>
      </c>
      <c r="R338" s="581" t="s">
        <v>108</v>
      </c>
      <c r="S338" s="160"/>
      <c r="T338" s="160"/>
    </row>
    <row r="339" spans="1:20" s="3" customFormat="1" outlineLevel="1" x14ac:dyDescent="0.45">
      <c r="B339" s="173">
        <f t="shared" si="345"/>
        <v>2026</v>
      </c>
      <c r="C339" s="546">
        <f>N332</f>
        <v>4395.8915454452163</v>
      </c>
      <c r="D339" s="168">
        <f t="shared" si="342"/>
        <v>2031</v>
      </c>
      <c r="G339" s="160"/>
      <c r="H339" s="160"/>
      <c r="I339" s="160"/>
      <c r="J339" s="160"/>
      <c r="K339" s="546">
        <f t="shared" si="343"/>
        <v>-879.1783090890433</v>
      </c>
      <c r="L339" s="581" t="s">
        <v>108</v>
      </c>
      <c r="M339" s="581" t="s">
        <v>108</v>
      </c>
      <c r="N339" s="581">
        <f>$K$339</f>
        <v>-879.1783090890433</v>
      </c>
      <c r="O339" s="581">
        <f t="shared" ref="O339:R339" si="347">$K$339</f>
        <v>-879.1783090890433</v>
      </c>
      <c r="P339" s="581">
        <f t="shared" si="347"/>
        <v>-879.1783090890433</v>
      </c>
      <c r="Q339" s="581">
        <f t="shared" si="347"/>
        <v>-879.1783090890433</v>
      </c>
      <c r="R339" s="581">
        <f t="shared" si="347"/>
        <v>-879.1783090890433</v>
      </c>
      <c r="S339" s="160"/>
      <c r="T339" s="160"/>
    </row>
    <row r="340" spans="1:20" s="3" customFormat="1" outlineLevel="1" x14ac:dyDescent="0.45">
      <c r="B340" s="173">
        <f t="shared" si="345"/>
        <v>2027</v>
      </c>
      <c r="C340" s="546">
        <f>O332</f>
        <v>4998.9752511156457</v>
      </c>
      <c r="D340" s="168">
        <f t="shared" si="342"/>
        <v>2032</v>
      </c>
      <c r="G340" s="160"/>
      <c r="H340" s="160"/>
      <c r="I340" s="160"/>
      <c r="J340" s="160"/>
      <c r="K340" s="546">
        <f t="shared" si="343"/>
        <v>-999.79505022312912</v>
      </c>
      <c r="L340" s="581" t="s">
        <v>108</v>
      </c>
      <c r="M340" s="581" t="s">
        <v>108</v>
      </c>
      <c r="N340" s="581" t="s">
        <v>108</v>
      </c>
      <c r="O340" s="581">
        <f>$K$340</f>
        <v>-999.79505022312912</v>
      </c>
      <c r="P340" s="581">
        <f t="shared" ref="P340:R340" si="348">$K$340</f>
        <v>-999.79505022312912</v>
      </c>
      <c r="Q340" s="581">
        <f t="shared" si="348"/>
        <v>-999.79505022312912</v>
      </c>
      <c r="R340" s="581">
        <f t="shared" si="348"/>
        <v>-999.79505022312912</v>
      </c>
      <c r="S340" s="160"/>
      <c r="T340" s="160"/>
    </row>
    <row r="341" spans="1:20" s="3" customFormat="1" outlineLevel="1" x14ac:dyDescent="0.45">
      <c r="B341" s="173">
        <f t="shared" si="345"/>
        <v>2028</v>
      </c>
      <c r="C341" s="546">
        <f>P332</f>
        <v>5713.7745482285545</v>
      </c>
      <c r="D341" s="168">
        <f t="shared" si="342"/>
        <v>2033</v>
      </c>
      <c r="G341" s="160"/>
      <c r="H341" s="160"/>
      <c r="I341" s="160"/>
      <c r="J341" s="160"/>
      <c r="K341" s="546">
        <f t="shared" si="343"/>
        <v>-1142.754909645711</v>
      </c>
      <c r="L341" s="581" t="s">
        <v>108</v>
      </c>
      <c r="M341" s="581" t="s">
        <v>108</v>
      </c>
      <c r="N341" s="581" t="s">
        <v>108</v>
      </c>
      <c r="O341" s="581" t="s">
        <v>108</v>
      </c>
      <c r="P341" s="581">
        <f>$K$341</f>
        <v>-1142.754909645711</v>
      </c>
      <c r="Q341" s="581">
        <f t="shared" ref="Q341:R341" si="349">$K$341</f>
        <v>-1142.754909645711</v>
      </c>
      <c r="R341" s="581">
        <f t="shared" si="349"/>
        <v>-1142.754909645711</v>
      </c>
      <c r="S341" s="160"/>
      <c r="T341" s="160"/>
    </row>
    <row r="342" spans="1:20" s="3" customFormat="1" outlineLevel="1" x14ac:dyDescent="0.45">
      <c r="B342" s="173">
        <f t="shared" si="345"/>
        <v>2029</v>
      </c>
      <c r="C342" s="546">
        <f>Q332</f>
        <v>6552.2553394242796</v>
      </c>
      <c r="D342" s="168">
        <f t="shared" si="342"/>
        <v>2034</v>
      </c>
      <c r="G342" s="160"/>
      <c r="H342" s="160"/>
      <c r="I342" s="160"/>
      <c r="J342" s="160"/>
      <c r="K342" s="546">
        <f t="shared" si="343"/>
        <v>-1310.451067884856</v>
      </c>
      <c r="L342" s="581" t="s">
        <v>108</v>
      </c>
      <c r="M342" s="581" t="s">
        <v>108</v>
      </c>
      <c r="N342" s="581" t="s">
        <v>108</v>
      </c>
      <c r="O342" s="581" t="s">
        <v>108</v>
      </c>
      <c r="P342" s="581" t="s">
        <v>108</v>
      </c>
      <c r="Q342" s="581">
        <f>$K$342</f>
        <v>-1310.451067884856</v>
      </c>
      <c r="R342" s="581">
        <f>$K$342</f>
        <v>-1310.451067884856</v>
      </c>
      <c r="S342" s="160"/>
      <c r="T342" s="160"/>
    </row>
    <row r="343" spans="1:20" s="3" customFormat="1" outlineLevel="1" x14ac:dyDescent="0.45">
      <c r="B343" s="173">
        <f t="shared" si="345"/>
        <v>2030</v>
      </c>
      <c r="C343" s="546">
        <f>R332</f>
        <v>7564.1548302780366</v>
      </c>
      <c r="D343" s="168">
        <f t="shared" si="342"/>
        <v>2035</v>
      </c>
      <c r="G343" s="160"/>
      <c r="H343" s="160"/>
      <c r="I343" s="160"/>
      <c r="J343" s="160"/>
      <c r="K343" s="546">
        <f t="shared" si="343"/>
        <v>-1512.8309660556074</v>
      </c>
      <c r="L343" s="582" t="s">
        <v>108</v>
      </c>
      <c r="M343" s="582" t="s">
        <v>108</v>
      </c>
      <c r="N343" s="582" t="s">
        <v>108</v>
      </c>
      <c r="O343" s="582" t="s">
        <v>108</v>
      </c>
      <c r="P343" s="582" t="s">
        <v>108</v>
      </c>
      <c r="Q343" s="582" t="s">
        <v>108</v>
      </c>
      <c r="R343" s="582">
        <f>$K$343</f>
        <v>-1512.8309660556074</v>
      </c>
      <c r="S343" s="160"/>
      <c r="T343" s="160"/>
    </row>
    <row r="344" spans="1:20" s="3" customFormat="1" outlineLevel="1" x14ac:dyDescent="0.45">
      <c r="B344" s="64" t="s">
        <v>313</v>
      </c>
      <c r="J344" s="161"/>
      <c r="K344" s="546">
        <f>SUM(K336:K343)</f>
        <v>-14411.026378305012</v>
      </c>
      <c r="L344" s="581">
        <f>SUM(L336:L343)</f>
        <v>-7783.4296189920005</v>
      </c>
      <c r="M344" s="581">
        <f>SUM(M336:M343)</f>
        <v>-8566.0160754066637</v>
      </c>
      <c r="N344" s="581">
        <f t="shared" ref="N344:R344" si="350">SUM(N336:N343)</f>
        <v>-9445.1943844957077</v>
      </c>
      <c r="O344" s="581">
        <f t="shared" si="350"/>
        <v>-10444.989434718836</v>
      </c>
      <c r="P344" s="581">
        <f t="shared" si="350"/>
        <v>-11587.744344364548</v>
      </c>
      <c r="Q344" s="581">
        <f t="shared" si="350"/>
        <v>-5114.7657932574039</v>
      </c>
      <c r="R344" s="581">
        <f t="shared" si="350"/>
        <v>-5845.0103028983467</v>
      </c>
      <c r="S344" s="160"/>
      <c r="T344" s="160"/>
    </row>
    <row r="345" spans="1:20" s="3" customFormat="1" outlineLevel="1" x14ac:dyDescent="0.45"/>
    <row r="346" spans="1:20" s="3" customFormat="1" outlineLevel="1" x14ac:dyDescent="0.45">
      <c r="A346" s="1" t="s">
        <v>148</v>
      </c>
      <c r="B346" s="176" t="s">
        <v>321</v>
      </c>
      <c r="C346" s="175"/>
      <c r="D346" s="175"/>
      <c r="E346" s="175"/>
      <c r="F346" s="175"/>
      <c r="G346" s="175"/>
      <c r="H346" s="175"/>
      <c r="I346" s="175"/>
      <c r="J346" s="175"/>
      <c r="K346" s="175"/>
      <c r="L346" s="175"/>
      <c r="M346" s="175"/>
      <c r="N346" s="175"/>
      <c r="O346" s="175"/>
      <c r="P346" s="175"/>
      <c r="Q346" s="175"/>
      <c r="R346" s="175"/>
    </row>
    <row r="347" spans="1:20" s="3" customFormat="1" outlineLevel="1" x14ac:dyDescent="0.45"/>
    <row r="348" spans="1:20" s="3" customFormat="1" outlineLevel="1" x14ac:dyDescent="0.45">
      <c r="B348" s="3" t="s">
        <v>295</v>
      </c>
      <c r="G348" s="546">
        <f t="shared" ref="G348:T348" si="351">G240</f>
        <v>484751</v>
      </c>
      <c r="H348" s="546">
        <f t="shared" si="351"/>
        <v>621149</v>
      </c>
      <c r="I348" s="546">
        <f t="shared" si="351"/>
        <v>784038</v>
      </c>
      <c r="J348" s="546">
        <f t="shared" si="351"/>
        <v>866972</v>
      </c>
      <c r="K348" s="546">
        <f t="shared" si="351"/>
        <v>1012336</v>
      </c>
      <c r="L348" s="546">
        <f t="shared" si="351"/>
        <v>1177716.0316533335</v>
      </c>
      <c r="M348" s="546">
        <f t="shared" si="351"/>
        <v>1304310.7606911066</v>
      </c>
      <c r="N348" s="546">
        <f t="shared" si="351"/>
        <v>1465297.1818150722</v>
      </c>
      <c r="O348" s="546">
        <f t="shared" si="351"/>
        <v>1666325.0837052155</v>
      </c>
      <c r="P348" s="546">
        <f t="shared" si="351"/>
        <v>1904591.5160761846</v>
      </c>
      <c r="Q348" s="546">
        <f t="shared" si="351"/>
        <v>2184085.1131414268</v>
      </c>
      <c r="R348" s="546">
        <f t="shared" si="351"/>
        <v>2521384.9434260121</v>
      </c>
      <c r="S348" s="546">
        <f t="shared" si="351"/>
        <v>938901.39190140751</v>
      </c>
      <c r="T348" s="546">
        <f t="shared" si="351"/>
        <v>238814.63975192586</v>
      </c>
    </row>
    <row r="349" spans="1:20" s="3" customFormat="1" outlineLevel="1" x14ac:dyDescent="0.45">
      <c r="G349" s="546"/>
      <c r="H349" s="546"/>
      <c r="I349" s="546"/>
      <c r="J349" s="546"/>
      <c r="K349" s="546"/>
      <c r="L349" s="546"/>
      <c r="M349" s="546"/>
      <c r="N349" s="546"/>
      <c r="O349" s="546"/>
      <c r="P349" s="546"/>
      <c r="Q349" s="546"/>
      <c r="R349" s="546"/>
      <c r="S349" s="546"/>
      <c r="T349" s="546"/>
    </row>
    <row r="350" spans="1:20" s="3" customFormat="1" outlineLevel="1" x14ac:dyDescent="0.45">
      <c r="B350" s="3" t="s">
        <v>322</v>
      </c>
      <c r="G350" s="546">
        <f>G57</f>
        <v>26185</v>
      </c>
      <c r="H350" s="546">
        <f>H57</f>
        <v>18868</v>
      </c>
      <c r="I350" s="546">
        <f>I57</f>
        <v>60138</v>
      </c>
      <c r="J350" s="546">
        <f>J57</f>
        <v>42808</v>
      </c>
      <c r="K350" s="546">
        <f>K57</f>
        <v>190103</v>
      </c>
      <c r="L350" s="546">
        <f>L355</f>
        <v>168371.90079133335</v>
      </c>
      <c r="M350" s="546">
        <f t="shared" ref="M350:T350" si="352">M355</f>
        <v>145199.66980861101</v>
      </c>
      <c r="N350" s="546">
        <f t="shared" si="352"/>
        <v>134823.09935398781</v>
      </c>
      <c r="O350" s="546">
        <f t="shared" si="352"/>
        <v>146341.22644661821</v>
      </c>
      <c r="P350" s="546">
        <f t="shared" si="352"/>
        <v>163816.01434852282</v>
      </c>
      <c r="Q350" s="546">
        <f t="shared" si="352"/>
        <v>188278.1421770585</v>
      </c>
      <c r="R350" s="546">
        <f t="shared" si="352"/>
        <v>221172.76576270879</v>
      </c>
      <c r="S350" s="546">
        <f t="shared" si="352"/>
        <v>172778.4847975352</v>
      </c>
      <c r="T350" s="546">
        <f t="shared" si="352"/>
        <v>168371.90079133338</v>
      </c>
    </row>
    <row r="351" spans="1:20" s="3" customFormat="1" outlineLevel="1" x14ac:dyDescent="0.45">
      <c r="E351" s="174"/>
      <c r="G351" s="158"/>
      <c r="H351" s="158"/>
      <c r="I351" s="158"/>
      <c r="J351" s="158"/>
      <c r="K351" s="158"/>
      <c r="L351" s="158"/>
      <c r="M351" s="158"/>
    </row>
    <row r="352" spans="1:20" s="3" customFormat="1" outlineLevel="1" x14ac:dyDescent="0.45">
      <c r="B352" s="3" t="s">
        <v>323</v>
      </c>
      <c r="G352" s="160"/>
      <c r="H352" s="160"/>
      <c r="I352" s="160"/>
      <c r="J352" s="160"/>
      <c r="K352" s="160"/>
      <c r="L352" s="546">
        <f>K355</f>
        <v>190103</v>
      </c>
      <c r="M352" s="546">
        <f t="shared" ref="M352:R352" si="353">L355</f>
        <v>168371.90079133335</v>
      </c>
      <c r="N352" s="546">
        <f t="shared" si="353"/>
        <v>145199.66980861101</v>
      </c>
      <c r="O352" s="546">
        <f t="shared" si="353"/>
        <v>134823.09935398781</v>
      </c>
      <c r="P352" s="546">
        <f t="shared" si="353"/>
        <v>146341.22644661821</v>
      </c>
      <c r="Q352" s="546">
        <f t="shared" si="353"/>
        <v>163816.01434852282</v>
      </c>
      <c r="R352" s="546">
        <f t="shared" si="353"/>
        <v>188278.1421770585</v>
      </c>
      <c r="S352" s="546">
        <f>K355</f>
        <v>190103</v>
      </c>
      <c r="T352" s="546">
        <f>S355</f>
        <v>172778.4847975352</v>
      </c>
    </row>
    <row r="353" spans="1:20" s="3" customFormat="1" outlineLevel="1" x14ac:dyDescent="0.45">
      <c r="B353" s="57" t="s">
        <v>324</v>
      </c>
      <c r="E353" s="157"/>
      <c r="G353" s="160"/>
      <c r="H353" s="160"/>
      <c r="I353" s="160"/>
      <c r="J353" s="160"/>
      <c r="K353" s="160"/>
      <c r="L353" s="546">
        <f>L372</f>
        <v>-51174</v>
      </c>
      <c r="M353" s="546">
        <f t="shared" ref="M353:R353" si="354">M372</f>
        <v>-55780</v>
      </c>
      <c r="N353" s="546">
        <f t="shared" si="354"/>
        <v>-47009</v>
      </c>
      <c r="O353" s="546">
        <f t="shared" si="354"/>
        <v>-30140</v>
      </c>
      <c r="P353" s="546">
        <f t="shared" si="354"/>
        <v>-30140</v>
      </c>
      <c r="Q353" s="546">
        <f t="shared" si="354"/>
        <v>-30140</v>
      </c>
      <c r="R353" s="546">
        <f t="shared" si="354"/>
        <v>-30140</v>
      </c>
      <c r="S353" s="546">
        <f>$L$353*S233</f>
        <v>-40797.050000000003</v>
      </c>
      <c r="T353" s="546">
        <f>$L$353*T233</f>
        <v>-10376.949999999997</v>
      </c>
    </row>
    <row r="354" spans="1:20" s="3" customFormat="1" outlineLevel="1" x14ac:dyDescent="0.45">
      <c r="B354" s="57" t="s">
        <v>325</v>
      </c>
      <c r="E354" s="174"/>
      <c r="G354" s="160"/>
      <c r="H354" s="160"/>
      <c r="I354" s="160"/>
      <c r="J354" s="160"/>
      <c r="K354" s="160"/>
      <c r="L354" s="552">
        <f>ABS(L363)</f>
        <v>29442.900791333337</v>
      </c>
      <c r="M354" s="552">
        <f t="shared" ref="M354:R354" si="355">ABS(M363)</f>
        <v>32607.769017277664</v>
      </c>
      <c r="N354" s="552">
        <f t="shared" si="355"/>
        <v>36632.429545376806</v>
      </c>
      <c r="O354" s="552">
        <f t="shared" si="355"/>
        <v>41658.127092630391</v>
      </c>
      <c r="P354" s="552">
        <f t="shared" si="355"/>
        <v>47614.787901904616</v>
      </c>
      <c r="Q354" s="552">
        <f t="shared" si="355"/>
        <v>54602.127828535675</v>
      </c>
      <c r="R354" s="552">
        <f t="shared" si="355"/>
        <v>63034.623585650304</v>
      </c>
      <c r="S354" s="552">
        <f>ABS(S363)</f>
        <v>23472.534797535191</v>
      </c>
      <c r="T354" s="552">
        <f>ABS(T363)</f>
        <v>5970.3659937981474</v>
      </c>
    </row>
    <row r="355" spans="1:20" s="3" customFormat="1" outlineLevel="1" x14ac:dyDescent="0.45">
      <c r="B355" s="64" t="s">
        <v>326</v>
      </c>
      <c r="G355" s="160"/>
      <c r="H355" s="160"/>
      <c r="I355" s="160"/>
      <c r="J355" s="160"/>
      <c r="K355" s="546">
        <f>K350</f>
        <v>190103</v>
      </c>
      <c r="L355" s="546">
        <f>SUM(L352:L354)</f>
        <v>168371.90079133335</v>
      </c>
      <c r="M355" s="546">
        <f t="shared" ref="M355" si="356">SUM(M352:M354)</f>
        <v>145199.66980861101</v>
      </c>
      <c r="N355" s="546">
        <f t="shared" ref="N355" si="357">SUM(N352:N354)</f>
        <v>134823.09935398781</v>
      </c>
      <c r="O355" s="546">
        <f t="shared" ref="O355" si="358">SUM(O352:O354)</f>
        <v>146341.22644661821</v>
      </c>
      <c r="P355" s="546">
        <f t="shared" ref="P355" si="359">SUM(P352:P354)</f>
        <v>163816.01434852282</v>
      </c>
      <c r="Q355" s="546">
        <f t="shared" ref="Q355" si="360">SUM(Q352:Q354)</f>
        <v>188278.1421770585</v>
      </c>
      <c r="R355" s="546">
        <f t="shared" ref="R355:T355" si="361">SUM(R352:R354)</f>
        <v>221172.76576270879</v>
      </c>
      <c r="S355" s="546">
        <f t="shared" si="361"/>
        <v>172778.4847975352</v>
      </c>
      <c r="T355" s="546">
        <f t="shared" si="361"/>
        <v>168371.90079133338</v>
      </c>
    </row>
    <row r="356" spans="1:20" s="3" customFormat="1" outlineLevel="1" x14ac:dyDescent="0.45">
      <c r="G356" s="158"/>
      <c r="H356" s="158"/>
      <c r="I356" s="158"/>
      <c r="J356" s="158"/>
      <c r="K356" s="158"/>
      <c r="L356" s="158"/>
      <c r="M356" s="158"/>
    </row>
    <row r="357" spans="1:20" s="3" customFormat="1" outlineLevel="1" x14ac:dyDescent="0.45">
      <c r="A357" s="1" t="s">
        <v>148</v>
      </c>
      <c r="B357" s="64" t="s">
        <v>327</v>
      </c>
      <c r="L357" s="157"/>
      <c r="M357" s="157"/>
      <c r="N357" s="157"/>
      <c r="O357" s="157"/>
      <c r="P357" s="157"/>
      <c r="Q357" s="157"/>
      <c r="R357" s="157"/>
    </row>
    <row r="358" spans="1:20" s="3" customFormat="1" outlineLevel="1" x14ac:dyDescent="0.45">
      <c r="A358" s="1"/>
      <c r="B358" s="57" t="s">
        <v>158</v>
      </c>
      <c r="G358" s="160"/>
      <c r="H358" s="160"/>
      <c r="I358" s="289">
        <v>-8479</v>
      </c>
      <c r="J358" s="289">
        <v>-12386</v>
      </c>
      <c r="K358" s="289">
        <v>-16292</v>
      </c>
      <c r="L358" s="546">
        <f>L$372*'Key Inputs and Drivers'!L64 +K358</f>
        <v>-23968.1</v>
      </c>
      <c r="M358" s="546">
        <f>M$372*'Key Inputs and Drivers'!M64 +L358</f>
        <v>-32335.1</v>
      </c>
      <c r="N358" s="546">
        <f>N$372*'Key Inputs and Drivers'!N64 +M358</f>
        <v>-39386.449999999997</v>
      </c>
      <c r="O358" s="546">
        <f>O$372*'Key Inputs and Drivers'!O64 +N358</f>
        <v>-43907.45</v>
      </c>
      <c r="P358" s="546">
        <f>P$372*'Key Inputs and Drivers'!P64 +O358</f>
        <v>-48428.45</v>
      </c>
      <c r="Q358" s="546">
        <f>Q$372*'Key Inputs and Drivers'!Q64 +P358</f>
        <v>-52949.45</v>
      </c>
      <c r="R358" s="546">
        <f>R$372*'Key Inputs and Drivers'!R64 +Q358</f>
        <v>-57470.45</v>
      </c>
      <c r="S358" s="160"/>
      <c r="T358" s="160"/>
    </row>
    <row r="359" spans="1:20" s="3" customFormat="1" outlineLevel="1" x14ac:dyDescent="0.45">
      <c r="A359" s="1"/>
      <c r="B359" s="57" t="s">
        <v>159</v>
      </c>
      <c r="G359" s="160"/>
      <c r="H359" s="160"/>
      <c r="I359" s="289">
        <v>-16304</v>
      </c>
      <c r="J359" s="289">
        <v>-27416</v>
      </c>
      <c r="K359" s="289">
        <v>-51936</v>
      </c>
      <c r="L359" s="546">
        <f>L$372*'Key Inputs and Drivers'!L65 +K359</f>
        <v>-87757.799999999988</v>
      </c>
      <c r="M359" s="546">
        <f>M$372*'Key Inputs and Drivers'!M65 +L359</f>
        <v>-126803.79999999999</v>
      </c>
      <c r="N359" s="546">
        <f>N$372*'Key Inputs and Drivers'!N65 +M359</f>
        <v>-159710.09999999998</v>
      </c>
      <c r="O359" s="546">
        <f>O$372*'Key Inputs and Drivers'!O65 +N359</f>
        <v>-180808.09999999998</v>
      </c>
      <c r="P359" s="546">
        <f>P$372*'Key Inputs and Drivers'!P65 +O359</f>
        <v>-201906.09999999998</v>
      </c>
      <c r="Q359" s="546">
        <f>Q$372*'Key Inputs and Drivers'!Q65 +P359</f>
        <v>-223004.09999999998</v>
      </c>
      <c r="R359" s="546">
        <f>R$372*'Key Inputs and Drivers'!R65 +Q359</f>
        <v>-244102.09999999998</v>
      </c>
      <c r="S359" s="160"/>
      <c r="T359" s="160"/>
    </row>
    <row r="360" spans="1:20" s="3" customFormat="1" outlineLevel="1" x14ac:dyDescent="0.45">
      <c r="B360" s="57" t="s">
        <v>160</v>
      </c>
      <c r="G360" s="160"/>
      <c r="H360" s="160"/>
      <c r="I360" s="580">
        <v>-5938</v>
      </c>
      <c r="J360" s="580">
        <v>-8249</v>
      </c>
      <c r="K360" s="580">
        <v>-9249</v>
      </c>
      <c r="L360" s="552">
        <f>L$372*'Key Inputs and Drivers'!L66 +K360</f>
        <v>-16925.099999999999</v>
      </c>
      <c r="M360" s="552">
        <f>M$372*'Key Inputs and Drivers'!M66 +L360</f>
        <v>-25292.1</v>
      </c>
      <c r="N360" s="552">
        <f>N$372*'Key Inputs and Drivers'!N66 +M360</f>
        <v>-32343.449999999997</v>
      </c>
      <c r="O360" s="552">
        <f>O$372*'Key Inputs and Drivers'!O66 +N360</f>
        <v>-36864.449999999997</v>
      </c>
      <c r="P360" s="552">
        <f>P$372*'Key Inputs and Drivers'!P66 +O360</f>
        <v>-41385.449999999997</v>
      </c>
      <c r="Q360" s="552">
        <f>Q$372*'Key Inputs and Drivers'!Q66 +P360</f>
        <v>-45906.45</v>
      </c>
      <c r="R360" s="552">
        <f>R$372*'Key Inputs and Drivers'!R66 +Q360</f>
        <v>-50427.45</v>
      </c>
      <c r="S360" s="160"/>
      <c r="T360" s="160"/>
    </row>
    <row r="361" spans="1:20" s="3" customFormat="1" outlineLevel="1" x14ac:dyDescent="0.45">
      <c r="B361" s="64" t="s">
        <v>328</v>
      </c>
      <c r="F361" s="157"/>
      <c r="G361" s="160"/>
      <c r="H361" s="160"/>
      <c r="I361" s="546">
        <f>SUM(I358:I360)</f>
        <v>-30721</v>
      </c>
      <c r="J361" s="546">
        <f t="shared" ref="J361:R361" si="362">SUM(J358:J360)</f>
        <v>-48051</v>
      </c>
      <c r="K361" s="546">
        <f t="shared" si="362"/>
        <v>-77477</v>
      </c>
      <c r="L361" s="546">
        <f t="shared" si="362"/>
        <v>-128651</v>
      </c>
      <c r="M361" s="546">
        <f t="shared" si="362"/>
        <v>-184431</v>
      </c>
      <c r="N361" s="546">
        <f t="shared" si="362"/>
        <v>-231440</v>
      </c>
      <c r="O361" s="546">
        <f t="shared" si="362"/>
        <v>-261580</v>
      </c>
      <c r="P361" s="546">
        <f t="shared" si="362"/>
        <v>-291720</v>
      </c>
      <c r="Q361" s="546">
        <f t="shared" si="362"/>
        <v>-321860</v>
      </c>
      <c r="R361" s="546">
        <f t="shared" si="362"/>
        <v>-352000</v>
      </c>
      <c r="S361" s="160"/>
      <c r="T361" s="160"/>
    </row>
    <row r="362" spans="1:20" s="3" customFormat="1" outlineLevel="1" x14ac:dyDescent="0.45">
      <c r="F362" s="157"/>
    </row>
    <row r="363" spans="1:20" s="3" customFormat="1" outlineLevel="1" x14ac:dyDescent="0.45">
      <c r="B363" s="3" t="s">
        <v>155</v>
      </c>
      <c r="G363" s="160"/>
      <c r="H363" s="160"/>
      <c r="I363" s="160"/>
      <c r="J363" s="160"/>
      <c r="K363" s="160"/>
      <c r="L363" s="546">
        <f t="shared" ref="L363:R363" si="363">L364*L348</f>
        <v>-29442.900791333337</v>
      </c>
      <c r="M363" s="546">
        <f t="shared" si="363"/>
        <v>-32607.769017277664</v>
      </c>
      <c r="N363" s="546">
        <f t="shared" si="363"/>
        <v>-36632.429545376806</v>
      </c>
      <c r="O363" s="546">
        <f t="shared" si="363"/>
        <v>-41658.127092630391</v>
      </c>
      <c r="P363" s="546">
        <f t="shared" si="363"/>
        <v>-47614.787901904616</v>
      </c>
      <c r="Q363" s="546">
        <f t="shared" si="363"/>
        <v>-54602.127828535675</v>
      </c>
      <c r="R363" s="546">
        <f t="shared" si="363"/>
        <v>-63034.623585650304</v>
      </c>
      <c r="S363" s="546">
        <f>$L$363*S233</f>
        <v>-23472.534797535191</v>
      </c>
      <c r="T363" s="546">
        <f>$L$363*T233</f>
        <v>-5970.3659937981474</v>
      </c>
    </row>
    <row r="364" spans="1:20" s="3" customFormat="1" outlineLevel="1" x14ac:dyDescent="0.45">
      <c r="B364" s="105" t="s">
        <v>308</v>
      </c>
      <c r="G364" s="160"/>
      <c r="H364" s="160"/>
      <c r="I364" s="160"/>
      <c r="J364" s="160"/>
      <c r="K364" s="160"/>
      <c r="L364" s="523">
        <f>'Key Inputs and Drivers'!L61</f>
        <v>-2.5000000000000001E-2</v>
      </c>
      <c r="M364" s="523">
        <f>'Key Inputs and Drivers'!M61</f>
        <v>-2.5000000000000001E-2</v>
      </c>
      <c r="N364" s="523">
        <f>'Key Inputs and Drivers'!N61</f>
        <v>-2.5000000000000001E-2</v>
      </c>
      <c r="O364" s="523">
        <f>'Key Inputs and Drivers'!O61</f>
        <v>-2.5000000000000001E-2</v>
      </c>
      <c r="P364" s="523">
        <f>'Key Inputs and Drivers'!P61</f>
        <v>-2.5000000000000001E-2</v>
      </c>
      <c r="Q364" s="523">
        <f>'Key Inputs and Drivers'!Q61</f>
        <v>-2.5000000000000001E-2</v>
      </c>
      <c r="R364" s="523">
        <f>'Key Inputs and Drivers'!R61</f>
        <v>-2.5000000000000001E-2</v>
      </c>
      <c r="S364" s="160"/>
      <c r="T364" s="160"/>
    </row>
    <row r="365" spans="1:20" s="3" customFormat="1" outlineLevel="1" x14ac:dyDescent="0.45">
      <c r="G365" s="74"/>
      <c r="I365" s="74"/>
    </row>
    <row r="366" spans="1:20" s="3" customFormat="1" outlineLevel="1" x14ac:dyDescent="0.45">
      <c r="A366" s="1" t="s">
        <v>148</v>
      </c>
      <c r="B366" s="64" t="s">
        <v>309</v>
      </c>
    </row>
    <row r="367" spans="1:20" s="3" customFormat="1" outlineLevel="1" x14ac:dyDescent="0.45">
      <c r="B367" s="57" t="s">
        <v>158</v>
      </c>
      <c r="G367" s="160"/>
      <c r="H367" s="160"/>
      <c r="I367" s="160"/>
      <c r="J367" s="160"/>
      <c r="K367" s="160"/>
      <c r="L367" s="556">
        <f>ABS('Key Inputs and Drivers'!L64*Model!L$363)</f>
        <v>4416.4351187000002</v>
      </c>
      <c r="M367" s="556">
        <f>ABS('Key Inputs and Drivers'!M64*Model!M$363)</f>
        <v>4891.165352591649</v>
      </c>
      <c r="N367" s="556">
        <f>ABS('Key Inputs and Drivers'!N64*Model!N$363)</f>
        <v>5494.8644318065208</v>
      </c>
      <c r="O367" s="556">
        <f>ABS('Key Inputs and Drivers'!O64*Model!O$363)</f>
        <v>6248.7190638945585</v>
      </c>
      <c r="P367" s="556">
        <f>ABS('Key Inputs and Drivers'!P64*Model!P$363)</f>
        <v>7142.218185285692</v>
      </c>
      <c r="Q367" s="556">
        <f>ABS('Key Inputs and Drivers'!Q64*Model!Q$363)</f>
        <v>8190.319174280351</v>
      </c>
      <c r="R367" s="556">
        <f>ABS('Key Inputs and Drivers'!R64*Model!R$363)</f>
        <v>9455.1935378475446</v>
      </c>
      <c r="S367" s="160"/>
      <c r="T367" s="160"/>
    </row>
    <row r="368" spans="1:20" s="3" customFormat="1" outlineLevel="1" x14ac:dyDescent="0.45">
      <c r="B368" s="57" t="s">
        <v>159</v>
      </c>
      <c r="G368" s="160"/>
      <c r="H368" s="160"/>
      <c r="I368" s="160"/>
      <c r="J368" s="160"/>
      <c r="K368" s="160"/>
      <c r="L368" s="556">
        <f>ABS('Key Inputs and Drivers'!L65*Model!L$363)</f>
        <v>20610.030553933335</v>
      </c>
      <c r="M368" s="556">
        <f>ABS('Key Inputs and Drivers'!M65*Model!M$363)</f>
        <v>22825.438312094364</v>
      </c>
      <c r="N368" s="556">
        <f>ABS('Key Inputs and Drivers'!N65*Model!N$363)</f>
        <v>25642.700681763763</v>
      </c>
      <c r="O368" s="556">
        <f>ABS('Key Inputs and Drivers'!O65*Model!O$363)</f>
        <v>29160.688964841273</v>
      </c>
      <c r="P368" s="556">
        <f>ABS('Key Inputs and Drivers'!P65*Model!P$363)</f>
        <v>33330.351531333232</v>
      </c>
      <c r="Q368" s="556">
        <f>ABS('Key Inputs and Drivers'!Q65*Model!Q$363)</f>
        <v>38221.489479974967</v>
      </c>
      <c r="R368" s="556">
        <f>ABS('Key Inputs and Drivers'!R65*Model!R$363)</f>
        <v>44124.236509955212</v>
      </c>
      <c r="S368" s="160"/>
      <c r="T368" s="160"/>
    </row>
    <row r="369" spans="1:20" s="3" customFormat="1" outlineLevel="1" x14ac:dyDescent="0.45">
      <c r="B369" s="57" t="s">
        <v>160</v>
      </c>
      <c r="G369" s="160"/>
      <c r="H369" s="160"/>
      <c r="I369" s="160"/>
      <c r="J369" s="160"/>
      <c r="K369" s="160"/>
      <c r="L369" s="557">
        <f>ABS('Key Inputs and Drivers'!L66*Model!L$363)</f>
        <v>4416.4351187000002</v>
      </c>
      <c r="M369" s="557">
        <f>ABS('Key Inputs and Drivers'!M66*Model!M$363)</f>
        <v>4891.165352591649</v>
      </c>
      <c r="N369" s="557">
        <f>ABS('Key Inputs and Drivers'!N66*Model!N$363)</f>
        <v>5494.8644318065208</v>
      </c>
      <c r="O369" s="557">
        <f>ABS('Key Inputs and Drivers'!O66*Model!O$363)</f>
        <v>6248.7190638945585</v>
      </c>
      <c r="P369" s="557">
        <f>ABS('Key Inputs and Drivers'!P66*Model!P$363)</f>
        <v>7142.218185285692</v>
      </c>
      <c r="Q369" s="557">
        <f>ABS('Key Inputs and Drivers'!Q66*Model!Q$363)</f>
        <v>8190.319174280351</v>
      </c>
      <c r="R369" s="557">
        <f>ABS('Key Inputs and Drivers'!R66*Model!R$363)</f>
        <v>9455.1935378475446</v>
      </c>
      <c r="S369" s="160"/>
      <c r="T369" s="160"/>
    </row>
    <row r="370" spans="1:20" s="3" customFormat="1" outlineLevel="1" x14ac:dyDescent="0.45">
      <c r="B370" s="64" t="s">
        <v>310</v>
      </c>
      <c r="G370" s="160"/>
      <c r="H370" s="160"/>
      <c r="I370" s="160"/>
      <c r="J370" s="160"/>
      <c r="K370" s="160"/>
      <c r="L370" s="546">
        <f t="shared" ref="L370:R370" si="364">SUM(L367:L369)</f>
        <v>29442.900791333333</v>
      </c>
      <c r="M370" s="546">
        <f t="shared" si="364"/>
        <v>32607.76901727766</v>
      </c>
      <c r="N370" s="546">
        <f t="shared" si="364"/>
        <v>36632.429545376806</v>
      </c>
      <c r="O370" s="546">
        <f t="shared" si="364"/>
        <v>41658.127092630391</v>
      </c>
      <c r="P370" s="546">
        <f t="shared" si="364"/>
        <v>47614.787901904609</v>
      </c>
      <c r="Q370" s="546">
        <f t="shared" si="364"/>
        <v>54602.127828535675</v>
      </c>
      <c r="R370" s="546">
        <f t="shared" si="364"/>
        <v>63034.623585650304</v>
      </c>
      <c r="S370" s="160"/>
      <c r="T370" s="160"/>
    </row>
    <row r="371" spans="1:20" s="3" customFormat="1" outlineLevel="1" x14ac:dyDescent="0.45"/>
    <row r="372" spans="1:20" outlineLevel="1" x14ac:dyDescent="0.45">
      <c r="B372" s="114" t="s">
        <v>161</v>
      </c>
      <c r="G372" s="160"/>
      <c r="H372" s="160"/>
      <c r="I372" s="160"/>
      <c r="J372" s="160"/>
      <c r="K372" s="160"/>
      <c r="L372" s="514">
        <f>'Key Inputs and Drivers'!L69</f>
        <v>-51174</v>
      </c>
      <c r="M372" s="514">
        <f>'Key Inputs and Drivers'!M69</f>
        <v>-55780</v>
      </c>
      <c r="N372" s="514">
        <f>'Key Inputs and Drivers'!N69</f>
        <v>-47009</v>
      </c>
      <c r="O372" s="514">
        <f>'Key Inputs and Drivers'!O69</f>
        <v>-30140</v>
      </c>
      <c r="P372" s="514">
        <f>'Key Inputs and Drivers'!P69</f>
        <v>-30140</v>
      </c>
      <c r="Q372" s="514">
        <f>'Key Inputs and Drivers'!Q69</f>
        <v>-30140</v>
      </c>
      <c r="R372" s="514">
        <f>'Key Inputs and Drivers'!R69</f>
        <v>-30140</v>
      </c>
      <c r="S372" s="160"/>
      <c r="T372" s="160"/>
    </row>
    <row r="374" spans="1:20" ht="15" customHeight="1" x14ac:dyDescent="0.45">
      <c r="A374" s="107" t="s">
        <v>18</v>
      </c>
      <c r="B374" s="108" t="s">
        <v>329</v>
      </c>
      <c r="C374" s="109"/>
      <c r="D374" s="109"/>
      <c r="E374" s="109"/>
      <c r="F374" s="109"/>
      <c r="G374" s="109"/>
      <c r="H374" s="109"/>
      <c r="I374" s="109"/>
      <c r="J374" s="109"/>
      <c r="K374" s="109"/>
      <c r="L374" s="109"/>
      <c r="M374" s="109"/>
      <c r="N374" s="109"/>
      <c r="O374" s="109"/>
      <c r="P374" s="109"/>
      <c r="Q374" s="109"/>
      <c r="R374" s="109"/>
      <c r="S374" s="109"/>
      <c r="T374" s="109"/>
    </row>
    <row r="375" spans="1:20" outlineLevel="1" x14ac:dyDescent="0.45">
      <c r="B375" s="616" t="s">
        <v>21</v>
      </c>
      <c r="C375" s="616"/>
      <c r="F375" s="3"/>
      <c r="G375" s="3"/>
      <c r="H375" s="3"/>
      <c r="I375" s="3"/>
      <c r="J375" s="3"/>
      <c r="K375" s="3"/>
      <c r="L375" s="3"/>
      <c r="M375" s="3"/>
      <c r="N375" s="3"/>
      <c r="O375" s="3"/>
      <c r="P375" s="3"/>
      <c r="Q375" s="3"/>
      <c r="R375" s="3"/>
      <c r="S375" s="615" t="s">
        <v>176</v>
      </c>
      <c r="T375" s="615"/>
    </row>
    <row r="376" spans="1:20" ht="14.65" outlineLevel="1" thickBot="1" x14ac:dyDescent="0.5">
      <c r="A376" s="111"/>
      <c r="B376" s="112"/>
      <c r="F376" s="3"/>
      <c r="G376" s="517" t="s">
        <v>112</v>
      </c>
      <c r="H376" s="427" t="s">
        <v>113</v>
      </c>
      <c r="I376" s="427" t="s">
        <v>114</v>
      </c>
      <c r="J376" s="427" t="s">
        <v>115</v>
      </c>
      <c r="K376" s="427" t="s">
        <v>116</v>
      </c>
      <c r="L376" s="101" t="s">
        <v>117</v>
      </c>
      <c r="M376" s="102">
        <v>2025</v>
      </c>
      <c r="N376" s="102">
        <f>M376+1</f>
        <v>2026</v>
      </c>
      <c r="O376" s="102">
        <f t="shared" ref="O376" si="365">N376+1</f>
        <v>2027</v>
      </c>
      <c r="P376" s="102">
        <f t="shared" ref="P376" si="366">O376+1</f>
        <v>2028</v>
      </c>
      <c r="Q376" s="102">
        <f>P376+1</f>
        <v>2029</v>
      </c>
      <c r="R376" s="102">
        <f>Q376+1</f>
        <v>2030</v>
      </c>
      <c r="S376" s="284">
        <v>45582</v>
      </c>
      <c r="T376" s="284">
        <v>45657</v>
      </c>
    </row>
    <row r="377" spans="1:20" outlineLevel="1" x14ac:dyDescent="0.45">
      <c r="A377" s="111"/>
      <c r="B377" s="111"/>
      <c r="F377" s="64" t="s">
        <v>119</v>
      </c>
      <c r="G377" s="425">
        <v>43830</v>
      </c>
      <c r="H377" s="425">
        <v>44196</v>
      </c>
      <c r="I377" s="425">
        <v>44561</v>
      </c>
      <c r="J377" s="425">
        <v>44926</v>
      </c>
      <c r="K377" s="425">
        <v>45291</v>
      </c>
      <c r="L377" s="425">
        <v>45657</v>
      </c>
      <c r="M377" s="425">
        <v>46022</v>
      </c>
      <c r="N377" s="425">
        <v>46387</v>
      </c>
      <c r="O377" s="425">
        <v>46752</v>
      </c>
      <c r="P377" s="425">
        <v>47118</v>
      </c>
      <c r="Q377" s="425">
        <v>47483</v>
      </c>
      <c r="R377" s="425">
        <v>47848</v>
      </c>
      <c r="S377" s="425">
        <v>45582</v>
      </c>
      <c r="T377" s="425">
        <v>45657</v>
      </c>
    </row>
    <row r="378" spans="1:20" outlineLevel="1" x14ac:dyDescent="0.45">
      <c r="A378" s="111"/>
      <c r="B378" s="116"/>
      <c r="F378" s="64" t="s">
        <v>120</v>
      </c>
      <c r="G378" s="418">
        <v>365</v>
      </c>
      <c r="H378" s="288">
        <f>G378</f>
        <v>365</v>
      </c>
      <c r="I378" s="288">
        <f t="shared" ref="I378" si="367">H378</f>
        <v>365</v>
      </c>
      <c r="J378" s="288">
        <f t="shared" ref="J378" si="368">I378</f>
        <v>365</v>
      </c>
      <c r="K378" s="288">
        <f t="shared" ref="K378" si="369">J378</f>
        <v>365</v>
      </c>
      <c r="L378" s="288">
        <f t="shared" ref="L378" si="370">K378</f>
        <v>365</v>
      </c>
      <c r="M378" s="288">
        <f t="shared" ref="M378" si="371">L378</f>
        <v>365</v>
      </c>
      <c r="N378" s="288">
        <f t="shared" ref="N378" si="372">M378</f>
        <v>365</v>
      </c>
      <c r="O378" s="288">
        <f t="shared" ref="O378" si="373">N378</f>
        <v>365</v>
      </c>
      <c r="P378" s="288">
        <f t="shared" ref="P378" si="374">O378</f>
        <v>365</v>
      </c>
      <c r="Q378" s="288">
        <f t="shared" ref="Q378" si="375">P378</f>
        <v>365</v>
      </c>
      <c r="R378" s="288">
        <f t="shared" ref="R378" si="376">Q378</f>
        <v>365</v>
      </c>
      <c r="S378" s="288">
        <f>_xlfn.DAYS(S377,K377)</f>
        <v>291</v>
      </c>
      <c r="T378" s="288">
        <f>_xlfn.DAYS(T377,S377)</f>
        <v>75</v>
      </c>
    </row>
    <row r="379" spans="1:20" outlineLevel="1" x14ac:dyDescent="0.45">
      <c r="A379" s="111"/>
      <c r="B379" s="116"/>
      <c r="F379" s="64" t="s">
        <v>122</v>
      </c>
      <c r="G379" s="439">
        <v>1</v>
      </c>
      <c r="H379" s="440">
        <f>YEARFRAC(G377,H377)</f>
        <v>1</v>
      </c>
      <c r="I379" s="440">
        <f t="shared" ref="I379" si="377">YEARFRAC(H377,I377)</f>
        <v>1</v>
      </c>
      <c r="J379" s="440">
        <f t="shared" ref="J379" si="378">YEARFRAC(I377,J377)</f>
        <v>1</v>
      </c>
      <c r="K379" s="440">
        <f t="shared" ref="K379" si="379">YEARFRAC(J377,K377)</f>
        <v>1</v>
      </c>
      <c r="L379" s="440">
        <f t="shared" ref="L379" si="380">YEARFRAC(K377,L377)</f>
        <v>1</v>
      </c>
      <c r="M379" s="440">
        <f t="shared" ref="M379" si="381">YEARFRAC(L377,M377)</f>
        <v>1</v>
      </c>
      <c r="N379" s="440">
        <f t="shared" ref="N379" si="382">YEARFRAC(M377,N377)</f>
        <v>1</v>
      </c>
      <c r="O379" s="440">
        <f t="shared" ref="O379" si="383">YEARFRAC(N377,O377)</f>
        <v>1</v>
      </c>
      <c r="P379" s="440">
        <f t="shared" ref="P379" si="384">YEARFRAC(O377,P377)</f>
        <v>1</v>
      </c>
      <c r="Q379" s="440">
        <f t="shared" ref="Q379" si="385">YEARFRAC(P377,Q377)</f>
        <v>1</v>
      </c>
      <c r="R379" s="440">
        <f t="shared" ref="R379" si="386">YEARFRAC(Q377,R377)</f>
        <v>1</v>
      </c>
      <c r="S379" s="590">
        <f>'Transaction Details'!$H$30</f>
        <v>0.79722222222222228</v>
      </c>
      <c r="T379" s="590">
        <f>'Transaction Details'!$H$31</f>
        <v>0.20277777777777772</v>
      </c>
    </row>
    <row r="380" spans="1:20" outlineLevel="1" x14ac:dyDescent="0.45">
      <c r="A380" s="111"/>
      <c r="B380" s="116"/>
      <c r="F380" s="64" t="s">
        <v>123</v>
      </c>
      <c r="G380" s="426" t="s">
        <v>124</v>
      </c>
      <c r="H380" s="426" t="s">
        <v>124</v>
      </c>
      <c r="I380" s="426" t="s">
        <v>124</v>
      </c>
      <c r="J380" s="426" t="s">
        <v>124</v>
      </c>
      <c r="K380" s="426" t="s">
        <v>124</v>
      </c>
      <c r="L380" s="426" t="s">
        <v>124</v>
      </c>
      <c r="M380" s="426" t="s">
        <v>124</v>
      </c>
      <c r="N380" s="426" t="s">
        <v>124</v>
      </c>
      <c r="O380" s="426" t="s">
        <v>124</v>
      </c>
      <c r="P380" s="426" t="s">
        <v>124</v>
      </c>
      <c r="Q380" s="426" t="s">
        <v>124</v>
      </c>
      <c r="R380" s="426" t="s">
        <v>124</v>
      </c>
      <c r="S380" s="426" t="s">
        <v>124</v>
      </c>
      <c r="T380" s="426" t="s">
        <v>124</v>
      </c>
    </row>
    <row r="381" spans="1:20" outlineLevel="1" x14ac:dyDescent="0.45">
      <c r="A381" s="111"/>
      <c r="B381" s="116"/>
      <c r="F381" s="114"/>
      <c r="G381" s="115"/>
      <c r="H381" s="115"/>
      <c r="I381" s="115"/>
      <c r="J381" s="115"/>
      <c r="K381" s="115"/>
      <c r="L381" s="115"/>
      <c r="M381" s="115"/>
      <c r="N381" s="115"/>
      <c r="O381" s="115"/>
      <c r="P381" s="115"/>
      <c r="Q381" s="115"/>
      <c r="R381" s="115"/>
    </row>
    <row r="382" spans="1:20" outlineLevel="1" x14ac:dyDescent="0.45">
      <c r="A382" s="111"/>
      <c r="B382" s="339" t="s">
        <v>330</v>
      </c>
      <c r="C382" s="340"/>
      <c r="D382" s="340"/>
      <c r="E382" s="340"/>
      <c r="F382" s="341"/>
      <c r="G382" s="561">
        <f t="shared" ref="G382:T382" si="387">G10/G378</f>
        <v>1328.0849315068492</v>
      </c>
      <c r="H382" s="561">
        <f t="shared" si="387"/>
        <v>1701.7780821917809</v>
      </c>
      <c r="I382" s="561">
        <f t="shared" si="387"/>
        <v>2148.0493150684933</v>
      </c>
      <c r="J382" s="561">
        <f t="shared" si="387"/>
        <v>2375.2657534246578</v>
      </c>
      <c r="K382" s="561">
        <f t="shared" si="387"/>
        <v>2773.523287671233</v>
      </c>
      <c r="L382" s="561">
        <f t="shared" si="387"/>
        <v>3226.6192648036531</v>
      </c>
      <c r="M382" s="561">
        <f t="shared" si="387"/>
        <v>3573.4541388797438</v>
      </c>
      <c r="N382" s="561">
        <f t="shared" si="387"/>
        <v>4014.5128268906087</v>
      </c>
      <c r="O382" s="561">
        <f t="shared" si="387"/>
        <v>4565.2742019320976</v>
      </c>
      <c r="P382" s="561">
        <f t="shared" si="387"/>
        <v>5218.05894815393</v>
      </c>
      <c r="Q382" s="561">
        <f t="shared" si="387"/>
        <v>5983.7948305244572</v>
      </c>
      <c r="R382" s="561">
        <f t="shared" si="387"/>
        <v>6907.903954591814</v>
      </c>
      <c r="S382" s="561">
        <f t="shared" si="387"/>
        <v>3226.4652642660053</v>
      </c>
      <c r="T382" s="562">
        <f t="shared" si="387"/>
        <v>3184.1951966923448</v>
      </c>
    </row>
    <row r="383" spans="1:20" outlineLevel="1" x14ac:dyDescent="0.45">
      <c r="A383" s="111"/>
      <c r="B383" s="342"/>
      <c r="C383" s="197"/>
      <c r="D383" s="197"/>
      <c r="E383" s="197"/>
      <c r="F383" s="114"/>
      <c r="G383" s="546"/>
      <c r="H383" s="546"/>
      <c r="I383" s="546"/>
      <c r="J383" s="546"/>
      <c r="K383" s="546"/>
      <c r="L383" s="546"/>
      <c r="M383" s="546"/>
      <c r="N383" s="546"/>
      <c r="O383" s="546"/>
      <c r="P383" s="546"/>
      <c r="Q383" s="546"/>
      <c r="R383" s="546"/>
      <c r="S383" s="546"/>
      <c r="T383" s="563"/>
    </row>
    <row r="384" spans="1:20" outlineLevel="1" x14ac:dyDescent="0.45">
      <c r="A384" s="111"/>
      <c r="B384" s="343" t="s">
        <v>331</v>
      </c>
      <c r="C384" s="564"/>
      <c r="D384" s="564"/>
      <c r="E384" s="564"/>
      <c r="F384" s="565"/>
      <c r="G384" s="552">
        <f t="shared" ref="G384:T384" si="388">G11/G378</f>
        <v>-224.41095890410958</v>
      </c>
      <c r="H384" s="552">
        <f t="shared" si="388"/>
        <v>-269.41643835616441</v>
      </c>
      <c r="I384" s="552">
        <f t="shared" si="388"/>
        <v>-346.93424657534246</v>
      </c>
      <c r="J384" s="552">
        <f t="shared" si="388"/>
        <v>-418.23287671232879</v>
      </c>
      <c r="K384" s="552">
        <f t="shared" si="388"/>
        <v>-568.54794520547944</v>
      </c>
      <c r="L384" s="552">
        <f t="shared" si="388"/>
        <v>-806.65481620091327</v>
      </c>
      <c r="M384" s="552">
        <f t="shared" si="388"/>
        <v>-854.56603264067007</v>
      </c>
      <c r="N384" s="552">
        <f t="shared" si="388"/>
        <v>-916.45592819588455</v>
      </c>
      <c r="O384" s="552">
        <f t="shared" si="388"/>
        <v>-992.62104790580713</v>
      </c>
      <c r="P384" s="552">
        <f t="shared" si="388"/>
        <v>-1077.9018912900831</v>
      </c>
      <c r="Q384" s="552">
        <f t="shared" si="388"/>
        <v>-1171.114131116929</v>
      </c>
      <c r="R384" s="552">
        <f t="shared" si="388"/>
        <v>-1201.9752880989756</v>
      </c>
      <c r="S384" s="552">
        <f t="shared" si="388"/>
        <v>-806.61631606650144</v>
      </c>
      <c r="T384" s="566">
        <f t="shared" si="388"/>
        <v>-796.04879917308631</v>
      </c>
    </row>
    <row r="385" spans="1:20" outlineLevel="1" x14ac:dyDescent="0.45">
      <c r="A385" s="111"/>
      <c r="B385" s="116"/>
      <c r="F385" s="114"/>
      <c r="G385" s="115"/>
      <c r="H385" s="115"/>
      <c r="I385" s="115"/>
      <c r="J385" s="115"/>
      <c r="K385" s="115"/>
      <c r="L385" s="115"/>
      <c r="M385" s="115"/>
      <c r="N385" s="115"/>
      <c r="O385" s="115"/>
      <c r="P385" s="115"/>
      <c r="Q385" s="115"/>
      <c r="R385" s="115"/>
    </row>
    <row r="386" spans="1:20" s="116" customFormat="1" outlineLevel="1" x14ac:dyDescent="0.45">
      <c r="B386" s="116" t="s">
        <v>191</v>
      </c>
    </row>
    <row r="387" spans="1:20" s="116" customFormat="1" outlineLevel="1" x14ac:dyDescent="0.45">
      <c r="B387" s="135" t="s">
        <v>193</v>
      </c>
      <c r="G387" s="546">
        <f t="shared" ref="G387:K389" si="389">G46</f>
        <v>4573</v>
      </c>
      <c r="H387" s="546">
        <f t="shared" si="389"/>
        <v>7516</v>
      </c>
      <c r="I387" s="546">
        <f t="shared" si="389"/>
        <v>7969</v>
      </c>
      <c r="J387" s="546">
        <f t="shared" si="389"/>
        <v>10748</v>
      </c>
      <c r="K387" s="546">
        <f t="shared" si="389"/>
        <v>24894</v>
      </c>
      <c r="L387" s="558">
        <f>L382*'Key Inputs and Drivers'!L73</f>
        <v>25812.954118429225</v>
      </c>
      <c r="M387" s="558">
        <f>M382*'Key Inputs and Drivers'!M73</f>
        <v>26800.906041598078</v>
      </c>
      <c r="N387" s="558">
        <f>N382*'Key Inputs and Drivers'!N73</f>
        <v>28101.589788234262</v>
      </c>
      <c r="O387" s="558">
        <f>O382*'Key Inputs and Drivers'!O73</f>
        <v>29674.282312558636</v>
      </c>
      <c r="P387" s="558">
        <f>P382*'Key Inputs and Drivers'!P73</f>
        <v>31308.35368892358</v>
      </c>
      <c r="Q387" s="558">
        <f>Q382*'Key Inputs and Drivers'!Q73</f>
        <v>32910.871567884518</v>
      </c>
      <c r="R387" s="558">
        <f>R382*'Key Inputs and Drivers'!R73</f>
        <v>34539.519772959073</v>
      </c>
      <c r="S387" s="548">
        <f>K387+(L387-K387)*$S$379</f>
        <v>25626.61064441441</v>
      </c>
      <c r="T387" s="548">
        <f>L387</f>
        <v>25812.954118429225</v>
      </c>
    </row>
    <row r="388" spans="1:20" s="116" customFormat="1" outlineLevel="1" x14ac:dyDescent="0.45">
      <c r="B388" s="135" t="s">
        <v>166</v>
      </c>
      <c r="G388" s="546">
        <f t="shared" si="389"/>
        <v>0</v>
      </c>
      <c r="H388" s="546">
        <f t="shared" si="389"/>
        <v>0</v>
      </c>
      <c r="I388" s="546">
        <f t="shared" si="389"/>
        <v>1828</v>
      </c>
      <c r="J388" s="546">
        <f t="shared" si="389"/>
        <v>4442</v>
      </c>
      <c r="K388" s="546">
        <f t="shared" si="389"/>
        <v>6089</v>
      </c>
      <c r="L388" s="558">
        <f>'Key Inputs and Drivers'!L83*Model!L$10</f>
        <v>5888.5801582666672</v>
      </c>
      <c r="M388" s="558">
        <f>'Key Inputs and Drivers'!M83*Model!M$10</f>
        <v>6521.5538034555329</v>
      </c>
      <c r="N388" s="558">
        <f>'Key Inputs and Drivers'!N83*Model!N$10</f>
        <v>7326.4859090753607</v>
      </c>
      <c r="O388" s="558">
        <f>'Key Inputs and Drivers'!O83*Model!O$10</f>
        <v>8331.6254185260768</v>
      </c>
      <c r="P388" s="558">
        <f>'Key Inputs and Drivers'!P83*Model!P$10</f>
        <v>9522.9575803809239</v>
      </c>
      <c r="Q388" s="558">
        <f>'Key Inputs and Drivers'!Q83*Model!Q$10</f>
        <v>10920.425565707134</v>
      </c>
      <c r="R388" s="558">
        <f>'Key Inputs and Drivers'!R83*Model!R$10</f>
        <v>12606.924717130061</v>
      </c>
      <c r="S388" s="548">
        <f t="shared" ref="S388:S389" si="390">K388+(L388-K388)*$S$379</f>
        <v>5929.2208483959266</v>
      </c>
      <c r="T388" s="548">
        <f t="shared" ref="T388:T389" si="391">L388</f>
        <v>5888.5801582666672</v>
      </c>
    </row>
    <row r="389" spans="1:20" s="116" customFormat="1" outlineLevel="1" x14ac:dyDescent="0.45">
      <c r="B389" s="135" t="s">
        <v>194</v>
      </c>
      <c r="G389" s="552">
        <f t="shared" si="389"/>
        <v>36745</v>
      </c>
      <c r="H389" s="552">
        <f t="shared" si="389"/>
        <v>37384</v>
      </c>
      <c r="I389" s="552">
        <f t="shared" si="389"/>
        <v>67099</v>
      </c>
      <c r="J389" s="552">
        <f t="shared" si="389"/>
        <v>48326</v>
      </c>
      <c r="K389" s="552">
        <f t="shared" si="389"/>
        <v>48947</v>
      </c>
      <c r="L389" s="559">
        <f>'Key Inputs and Drivers'!L85*Model!L$10</f>
        <v>58885.801582666674</v>
      </c>
      <c r="M389" s="559">
        <f>'Key Inputs and Drivers'!M85*Model!M$10</f>
        <v>68476.314936283103</v>
      </c>
      <c r="N389" s="559">
        <f>'Key Inputs and Drivers'!N85*Model!N$10</f>
        <v>80591.344999828987</v>
      </c>
      <c r="O389" s="559">
        <f>'Key Inputs and Drivers'!O85*Model!O$10</f>
        <v>95813.692313049905</v>
      </c>
      <c r="P389" s="559">
        <f>'Key Inputs and Drivers'!P85*Model!P$10</f>
        <v>114275.4909645711</v>
      </c>
      <c r="Q389" s="559">
        <f>'Key Inputs and Drivers'!Q85*Model!Q$10</f>
        <v>136505.31957133921</v>
      </c>
      <c r="R389" s="559">
        <f>'Key Inputs and Drivers'!R85*Model!R$10</f>
        <v>163890.02132269079</v>
      </c>
      <c r="S389" s="549">
        <f t="shared" si="390"/>
        <v>56870.433483959263</v>
      </c>
      <c r="T389" s="549">
        <f t="shared" si="391"/>
        <v>58885.801582666674</v>
      </c>
    </row>
    <row r="390" spans="1:20" s="116" customFormat="1" outlineLevel="1" x14ac:dyDescent="0.45">
      <c r="B390" s="116" t="s">
        <v>332</v>
      </c>
      <c r="G390" s="546">
        <f t="shared" ref="G390:L390" si="392">SUM(G387:G389)</f>
        <v>41318</v>
      </c>
      <c r="H390" s="546">
        <f t="shared" si="392"/>
        <v>44900</v>
      </c>
      <c r="I390" s="546">
        <f t="shared" si="392"/>
        <v>76896</v>
      </c>
      <c r="J390" s="546">
        <f t="shared" si="392"/>
        <v>63516</v>
      </c>
      <c r="K390" s="546">
        <f t="shared" si="392"/>
        <v>79930</v>
      </c>
      <c r="L390" s="546">
        <f t="shared" si="392"/>
        <v>90587.33585936256</v>
      </c>
      <c r="M390" s="546">
        <f t="shared" ref="M390:R390" si="393">SUM(M387:M389)</f>
        <v>101798.77478133672</v>
      </c>
      <c r="N390" s="546">
        <f t="shared" si="393"/>
        <v>116019.42069713862</v>
      </c>
      <c r="O390" s="546">
        <f t="shared" si="393"/>
        <v>133819.60004413463</v>
      </c>
      <c r="P390" s="546">
        <f t="shared" si="393"/>
        <v>155106.80223387561</v>
      </c>
      <c r="Q390" s="546">
        <f t="shared" si="393"/>
        <v>180336.61670493084</v>
      </c>
      <c r="R390" s="546">
        <f t="shared" si="393"/>
        <v>211036.46581277993</v>
      </c>
      <c r="S390" s="550">
        <f t="shared" ref="S390" si="394">SUM(S387:S389)</f>
        <v>88426.264976769598</v>
      </c>
      <c r="T390" s="550">
        <f t="shared" ref="T390" si="395">SUM(T387:T389)</f>
        <v>90587.33585936256</v>
      </c>
    </row>
    <row r="391" spans="1:20" s="116" customFormat="1" outlineLevel="1" x14ac:dyDescent="0.45">
      <c r="S391" s="551"/>
      <c r="T391" s="551"/>
    </row>
    <row r="392" spans="1:20" s="116" customFormat="1" outlineLevel="1" x14ac:dyDescent="0.45">
      <c r="B392" s="116" t="s">
        <v>333</v>
      </c>
      <c r="S392" s="551"/>
      <c r="T392" s="551"/>
    </row>
    <row r="393" spans="1:20" s="116" customFormat="1" outlineLevel="1" x14ac:dyDescent="0.45">
      <c r="B393" s="135" t="s">
        <v>211</v>
      </c>
      <c r="G393" s="546">
        <f>G69</f>
        <v>164428</v>
      </c>
      <c r="H393" s="546">
        <f>H69</f>
        <v>210392</v>
      </c>
      <c r="I393" s="546">
        <f>I69</f>
        <v>233999</v>
      </c>
      <c r="J393" s="546">
        <f>J69</f>
        <v>269689</v>
      </c>
      <c r="K393" s="546">
        <f>K69</f>
        <v>333191</v>
      </c>
      <c r="L393" s="558">
        <f>'Key Inputs and Drivers'!L89*Model!L10</f>
        <v>388646.29044560005</v>
      </c>
      <c r="M393" s="558">
        <f>'Key Inputs and Drivers'!M89*Model!M10</f>
        <v>430422.55102806521</v>
      </c>
      <c r="N393" s="558">
        <f>'Key Inputs and Drivers'!N89*Model!N10</f>
        <v>483548.06999897386</v>
      </c>
      <c r="O393" s="558">
        <f>'Key Inputs and Drivers'!O89*Model!O10</f>
        <v>549887.27762272116</v>
      </c>
      <c r="P393" s="558">
        <f>'Key Inputs and Drivers'!P89*Model!P10</f>
        <v>628515.20030514093</v>
      </c>
      <c r="Q393" s="558">
        <f>'Key Inputs and Drivers'!Q89*Model!Q10</f>
        <v>720748.08733667084</v>
      </c>
      <c r="R393" s="558">
        <f>'Key Inputs and Drivers'!R89*Model!R10</f>
        <v>832057.03133058397</v>
      </c>
      <c r="S393" s="550">
        <f>$K$393+($L$393-$K$393)*S$379</f>
        <v>377401.18988302007</v>
      </c>
      <c r="T393" s="550">
        <f>L393</f>
        <v>388646.29044560005</v>
      </c>
    </row>
    <row r="394" spans="1:20" s="116" customFormat="1" outlineLevel="1" x14ac:dyDescent="0.45">
      <c r="B394" s="135" t="s">
        <v>208</v>
      </c>
      <c r="G394" s="546">
        <f t="shared" ref="G394:K395" si="396">G65</f>
        <v>3204</v>
      </c>
      <c r="H394" s="546">
        <f t="shared" si="396"/>
        <v>16758</v>
      </c>
      <c r="I394" s="546">
        <f t="shared" si="396"/>
        <v>26533</v>
      </c>
      <c r="J394" s="546">
        <f t="shared" si="396"/>
        <v>12987</v>
      </c>
      <c r="K394" s="546">
        <f t="shared" si="396"/>
        <v>12863</v>
      </c>
      <c r="L394" s="558">
        <f>'Key Inputs and Drivers'!L78*-Model!L384</f>
        <v>18149.733364520547</v>
      </c>
      <c r="M394" s="558">
        <f>'Key Inputs and Drivers'!M78*-Model!M384</f>
        <v>20143.342197958653</v>
      </c>
      <c r="N394" s="558">
        <f>'Key Inputs and Drivers'!N78*-Model!N384</f>
        <v>22584.092516255729</v>
      </c>
      <c r="O394" s="558">
        <f>'Key Inputs and Drivers'!O78*-Model!O384</f>
        <v>25524.541231863615</v>
      </c>
      <c r="P394" s="558">
        <f>'Key Inputs and Drivers'!P78*-Model!P384</f>
        <v>28872.372088127231</v>
      </c>
      <c r="Q394" s="558">
        <f>'Key Inputs and Drivers'!Q78*-Model!Q384</f>
        <v>32623.893652543033</v>
      </c>
      <c r="R394" s="558">
        <f>'Key Inputs and Drivers'!R78*-Model!R384</f>
        <v>36059.258642969267</v>
      </c>
      <c r="S394" s="548">
        <f t="shared" ref="S394:S395" si="397">K394+(L394-K394)*$S$379</f>
        <v>17077.701321159439</v>
      </c>
      <c r="T394" s="548">
        <f>L394</f>
        <v>18149.733364520547</v>
      </c>
    </row>
    <row r="395" spans="1:20" s="116" customFormat="1" outlineLevel="1" x14ac:dyDescent="0.45">
      <c r="B395" s="135" t="s">
        <v>168</v>
      </c>
      <c r="G395" s="552">
        <f t="shared" si="396"/>
        <v>46392</v>
      </c>
      <c r="H395" s="552">
        <f t="shared" si="396"/>
        <v>46779</v>
      </c>
      <c r="I395" s="552">
        <f t="shared" si="396"/>
        <v>60861</v>
      </c>
      <c r="J395" s="552">
        <f t="shared" si="396"/>
        <v>64360</v>
      </c>
      <c r="K395" s="552">
        <f t="shared" si="396"/>
        <v>99435</v>
      </c>
      <c r="L395" s="567">
        <f>'Key Inputs and Drivers'!L87*L10</f>
        <v>98928.14665888001</v>
      </c>
      <c r="M395" s="567">
        <f>'Key Inputs and Drivers'!M87*M10</f>
        <v>109562.10389805296</v>
      </c>
      <c r="N395" s="567">
        <f>'Key Inputs and Drivers'!N87*N10</f>
        <v>123084.96327246608</v>
      </c>
      <c r="O395" s="567">
        <f>'Key Inputs and Drivers'!O87*O10</f>
        <v>139971.3070312381</v>
      </c>
      <c r="P395" s="567">
        <f>'Key Inputs and Drivers'!P87*P10</f>
        <v>159985.6873503995</v>
      </c>
      <c r="Q395" s="567">
        <f>'Key Inputs and Drivers'!Q87*Q10</f>
        <v>183463.14950387986</v>
      </c>
      <c r="R395" s="567">
        <f>'Key Inputs and Drivers'!R87*R10</f>
        <v>211796.33524778503</v>
      </c>
      <c r="S395" s="568">
        <f t="shared" si="397"/>
        <v>99030.925253051566</v>
      </c>
      <c r="T395" s="568">
        <f>L395</f>
        <v>98928.14665888001</v>
      </c>
    </row>
    <row r="396" spans="1:20" outlineLevel="1" x14ac:dyDescent="0.45">
      <c r="B396" s="116" t="s">
        <v>332</v>
      </c>
      <c r="G396" s="546">
        <f>SUM(G393:G395)</f>
        <v>214024</v>
      </c>
      <c r="H396" s="546">
        <f t="shared" ref="H396:T396" si="398">SUM(H393:H395)</f>
        <v>273929</v>
      </c>
      <c r="I396" s="546">
        <f t="shared" si="398"/>
        <v>321393</v>
      </c>
      <c r="J396" s="546">
        <f t="shared" si="398"/>
        <v>347036</v>
      </c>
      <c r="K396" s="546">
        <f t="shared" si="398"/>
        <v>445489</v>
      </c>
      <c r="L396" s="546">
        <f t="shared" si="398"/>
        <v>505724.17046900059</v>
      </c>
      <c r="M396" s="546">
        <f t="shared" si="398"/>
        <v>560127.99712407682</v>
      </c>
      <c r="N396" s="546">
        <f t="shared" si="398"/>
        <v>629217.12578769564</v>
      </c>
      <c r="O396" s="546">
        <f t="shared" si="398"/>
        <v>715383.12588582293</v>
      </c>
      <c r="P396" s="546">
        <f t="shared" si="398"/>
        <v>817373.25974366767</v>
      </c>
      <c r="Q396" s="546">
        <f t="shared" si="398"/>
        <v>936835.13049309375</v>
      </c>
      <c r="R396" s="546">
        <f t="shared" si="398"/>
        <v>1079912.6252213384</v>
      </c>
      <c r="S396" s="550">
        <f t="shared" si="398"/>
        <v>493509.81645723106</v>
      </c>
      <c r="T396" s="550">
        <f t="shared" si="398"/>
        <v>505724.17046900059</v>
      </c>
    </row>
    <row r="397" spans="1:20" outlineLevel="1" x14ac:dyDescent="0.45">
      <c r="B397" s="116"/>
    </row>
    <row r="398" spans="1:20" outlineLevel="1" x14ac:dyDescent="0.45">
      <c r="B398" s="110" t="s">
        <v>334</v>
      </c>
      <c r="G398" s="552">
        <f>G390-G396</f>
        <v>-172706</v>
      </c>
      <c r="H398" s="552">
        <f t="shared" ref="H398:K398" si="399">H390-H396</f>
        <v>-229029</v>
      </c>
      <c r="I398" s="552">
        <f t="shared" si="399"/>
        <v>-244497</v>
      </c>
      <c r="J398" s="552">
        <f t="shared" si="399"/>
        <v>-283520</v>
      </c>
      <c r="K398" s="552">
        <f t="shared" si="399"/>
        <v>-365559</v>
      </c>
      <c r="L398" s="552">
        <f t="shared" ref="L398:R398" si="400">L390-L396</f>
        <v>-415136.83460963803</v>
      </c>
      <c r="M398" s="552">
        <f t="shared" si="400"/>
        <v>-458329.2223427401</v>
      </c>
      <c r="N398" s="552">
        <f t="shared" si="400"/>
        <v>-513197.70509055699</v>
      </c>
      <c r="O398" s="552">
        <f t="shared" si="400"/>
        <v>-581563.52584168827</v>
      </c>
      <c r="P398" s="552">
        <f t="shared" si="400"/>
        <v>-662266.45750979206</v>
      </c>
      <c r="Q398" s="552">
        <f t="shared" si="400"/>
        <v>-756498.51378816296</v>
      </c>
      <c r="R398" s="552">
        <f t="shared" si="400"/>
        <v>-868876.15940855839</v>
      </c>
      <c r="S398" s="552">
        <f t="shared" ref="S398:T398" si="401">S390-S396</f>
        <v>-405083.55148046149</v>
      </c>
      <c r="T398" s="552">
        <f t="shared" si="401"/>
        <v>-415136.83460963803</v>
      </c>
    </row>
    <row r="399" spans="1:20" outlineLevel="1" x14ac:dyDescent="0.45">
      <c r="B399" s="184" t="s">
        <v>335</v>
      </c>
      <c r="G399" s="581" t="s">
        <v>108</v>
      </c>
      <c r="H399" s="546">
        <f>G398-H398</f>
        <v>56323</v>
      </c>
      <c r="I399" s="546">
        <f t="shared" ref="I399:K399" si="402">H398-I398</f>
        <v>15468</v>
      </c>
      <c r="J399" s="546">
        <f t="shared" si="402"/>
        <v>39023</v>
      </c>
      <c r="K399" s="546">
        <f t="shared" si="402"/>
        <v>82039</v>
      </c>
      <c r="L399" s="546">
        <f t="shared" ref="L399" si="403">K398-L398</f>
        <v>49577.834609638026</v>
      </c>
      <c r="M399" s="546">
        <f t="shared" ref="M399" si="404">L398-M398</f>
        <v>43192.387733102078</v>
      </c>
      <c r="N399" s="546">
        <f t="shared" ref="N399" si="405">M398-N398</f>
        <v>54868.482747816888</v>
      </c>
      <c r="O399" s="546">
        <f t="shared" ref="O399" si="406">N398-O398</f>
        <v>68365.820751131279</v>
      </c>
      <c r="P399" s="546">
        <f t="shared" ref="P399" si="407">O398-P398</f>
        <v>80702.931668103789</v>
      </c>
      <c r="Q399" s="546">
        <f t="shared" ref="Q399" si="408">P398-Q398</f>
        <v>94232.056278370903</v>
      </c>
      <c r="R399" s="546">
        <f t="shared" ref="R399" si="409">Q398-R398</f>
        <v>112377.64562039543</v>
      </c>
      <c r="S399" s="546">
        <f t="shared" ref="S399" si="410">R398-S398</f>
        <v>-463792.6079280969</v>
      </c>
      <c r="T399" s="546">
        <f t="shared" ref="T399" si="411">S398-T398</f>
        <v>10053.283129176532</v>
      </c>
    </row>
    <row r="401" spans="1:20" ht="15" customHeight="1" x14ac:dyDescent="0.45">
      <c r="A401" s="107" t="s">
        <v>18</v>
      </c>
      <c r="B401" s="108" t="s">
        <v>336</v>
      </c>
      <c r="C401" s="109"/>
      <c r="D401" s="109"/>
      <c r="E401" s="109"/>
      <c r="F401" s="109"/>
      <c r="G401" s="109"/>
      <c r="H401" s="109"/>
      <c r="I401" s="109"/>
      <c r="J401" s="109"/>
      <c r="K401" s="109"/>
      <c r="L401" s="109"/>
      <c r="M401" s="109"/>
      <c r="N401" s="109"/>
      <c r="O401" s="109"/>
      <c r="P401" s="109"/>
      <c r="Q401" s="109"/>
      <c r="R401" s="109"/>
      <c r="S401" s="109"/>
      <c r="T401" s="109"/>
    </row>
    <row r="402" spans="1:20" outlineLevel="1" x14ac:dyDescent="0.45">
      <c r="A402" s="111"/>
      <c r="B402" s="616" t="s">
        <v>21</v>
      </c>
      <c r="C402" s="616"/>
      <c r="D402" s="616"/>
      <c r="E402" s="122"/>
      <c r="F402" s="3"/>
      <c r="G402" s="3"/>
      <c r="H402" s="3"/>
      <c r="I402" s="3"/>
      <c r="J402" s="3"/>
      <c r="K402" s="3"/>
      <c r="L402" s="3"/>
      <c r="M402" s="3"/>
      <c r="N402" s="3"/>
      <c r="O402" s="3"/>
      <c r="P402" s="3"/>
      <c r="Q402" s="3"/>
      <c r="R402" s="3"/>
      <c r="S402" s="615" t="s">
        <v>176</v>
      </c>
      <c r="T402" s="615"/>
    </row>
    <row r="403" spans="1:20" ht="14.65" outlineLevel="1" thickBot="1" x14ac:dyDescent="0.5">
      <c r="A403" s="111"/>
      <c r="B403" s="291"/>
      <c r="C403" s="291"/>
      <c r="D403" s="122"/>
      <c r="E403" s="122"/>
      <c r="F403" s="3"/>
      <c r="G403" s="517" t="s">
        <v>112</v>
      </c>
      <c r="H403" s="427" t="s">
        <v>113</v>
      </c>
      <c r="I403" s="427" t="s">
        <v>114</v>
      </c>
      <c r="J403" s="427" t="s">
        <v>115</v>
      </c>
      <c r="K403" s="427" t="s">
        <v>116</v>
      </c>
      <c r="L403" s="101" t="s">
        <v>117</v>
      </c>
      <c r="M403" s="102">
        <v>2025</v>
      </c>
      <c r="N403" s="102">
        <f>M403+1</f>
        <v>2026</v>
      </c>
      <c r="O403" s="102">
        <f t="shared" ref="O403" si="412">N403+1</f>
        <v>2027</v>
      </c>
      <c r="P403" s="102">
        <f t="shared" ref="P403" si="413">O403+1</f>
        <v>2028</v>
      </c>
      <c r="Q403" s="102">
        <f>P403+1</f>
        <v>2029</v>
      </c>
      <c r="R403" s="102">
        <f>Q403+1</f>
        <v>2030</v>
      </c>
      <c r="S403" s="284">
        <v>45582</v>
      </c>
      <c r="T403" s="284">
        <v>45657</v>
      </c>
    </row>
    <row r="404" spans="1:20" outlineLevel="1" x14ac:dyDescent="0.45">
      <c r="A404" s="111"/>
      <c r="B404" s="291"/>
      <c r="C404" s="291"/>
      <c r="D404" s="122"/>
      <c r="E404" s="122"/>
      <c r="F404" s="64" t="s">
        <v>119</v>
      </c>
      <c r="G404" s="425">
        <v>43830</v>
      </c>
      <c r="H404" s="425">
        <v>44196</v>
      </c>
      <c r="I404" s="425">
        <v>44561</v>
      </c>
      <c r="J404" s="425">
        <v>44926</v>
      </c>
      <c r="K404" s="425">
        <v>45291</v>
      </c>
      <c r="L404" s="425">
        <v>45657</v>
      </c>
      <c r="M404" s="425">
        <v>46022</v>
      </c>
      <c r="N404" s="425">
        <v>46387</v>
      </c>
      <c r="O404" s="425">
        <v>46752</v>
      </c>
      <c r="P404" s="425">
        <v>47118</v>
      </c>
      <c r="Q404" s="425">
        <v>47483</v>
      </c>
      <c r="R404" s="425">
        <v>47848</v>
      </c>
      <c r="S404" s="425">
        <v>45582</v>
      </c>
      <c r="T404" s="425">
        <v>45657</v>
      </c>
    </row>
    <row r="405" spans="1:20" outlineLevel="1" x14ac:dyDescent="0.45">
      <c r="A405" s="111"/>
      <c r="B405" s="291"/>
      <c r="C405" s="291"/>
      <c r="D405" s="122"/>
      <c r="E405" s="122"/>
      <c r="F405" s="64" t="s">
        <v>120</v>
      </c>
      <c r="G405" s="418">
        <v>365</v>
      </c>
      <c r="H405" s="288">
        <f>G405</f>
        <v>365</v>
      </c>
      <c r="I405" s="288">
        <f t="shared" ref="I405" si="414">H405</f>
        <v>365</v>
      </c>
      <c r="J405" s="288">
        <f t="shared" ref="J405" si="415">I405</f>
        <v>365</v>
      </c>
      <c r="K405" s="288">
        <f t="shared" ref="K405" si="416">J405</f>
        <v>365</v>
      </c>
      <c r="L405" s="288">
        <f t="shared" ref="L405" si="417">K405</f>
        <v>365</v>
      </c>
      <c r="M405" s="288">
        <f t="shared" ref="M405" si="418">L405</f>
        <v>365</v>
      </c>
      <c r="N405" s="288">
        <f t="shared" ref="N405" si="419">M405</f>
        <v>365</v>
      </c>
      <c r="O405" s="288">
        <f t="shared" ref="O405" si="420">N405</f>
        <v>365</v>
      </c>
      <c r="P405" s="288">
        <f t="shared" ref="P405" si="421">O405</f>
        <v>365</v>
      </c>
      <c r="Q405" s="288">
        <f t="shared" ref="Q405" si="422">P405</f>
        <v>365</v>
      </c>
      <c r="R405" s="288">
        <f t="shared" ref="R405" si="423">Q405</f>
        <v>365</v>
      </c>
      <c r="S405" s="288">
        <f>_xlfn.DAYS(S404,K404)</f>
        <v>291</v>
      </c>
      <c r="T405" s="288">
        <f>_xlfn.DAYS(T404,S404)</f>
        <v>75</v>
      </c>
    </row>
    <row r="406" spans="1:20" outlineLevel="1" x14ac:dyDescent="0.45">
      <c r="A406" s="111"/>
      <c r="B406" s="291"/>
      <c r="C406" s="291"/>
      <c r="D406" s="122"/>
      <c r="E406" s="122"/>
      <c r="F406" s="64" t="s">
        <v>122</v>
      </c>
      <c r="G406" s="439">
        <v>1</v>
      </c>
      <c r="H406" s="440">
        <f>YEARFRAC(G404,H404)</f>
        <v>1</v>
      </c>
      <c r="I406" s="440">
        <f t="shared" ref="I406" si="424">YEARFRAC(H404,I404)</f>
        <v>1</v>
      </c>
      <c r="J406" s="440">
        <f t="shared" ref="J406" si="425">YEARFRAC(I404,J404)</f>
        <v>1</v>
      </c>
      <c r="K406" s="440">
        <f t="shared" ref="K406" si="426">YEARFRAC(J404,K404)</f>
        <v>1</v>
      </c>
      <c r="L406" s="440">
        <f t="shared" ref="L406" si="427">YEARFRAC(K404,L404)</f>
        <v>1</v>
      </c>
      <c r="M406" s="440">
        <f t="shared" ref="M406" si="428">YEARFRAC(L404,M404)</f>
        <v>1</v>
      </c>
      <c r="N406" s="440">
        <f t="shared" ref="N406" si="429">YEARFRAC(M404,N404)</f>
        <v>1</v>
      </c>
      <c r="O406" s="440">
        <f t="shared" ref="O406" si="430">YEARFRAC(N404,O404)</f>
        <v>1</v>
      </c>
      <c r="P406" s="440">
        <f t="shared" ref="P406" si="431">YEARFRAC(O404,P404)</f>
        <v>1</v>
      </c>
      <c r="Q406" s="440">
        <f t="shared" ref="Q406" si="432">YEARFRAC(P404,Q404)</f>
        <v>1</v>
      </c>
      <c r="R406" s="440">
        <f t="shared" ref="R406" si="433">YEARFRAC(Q404,R404)</f>
        <v>1</v>
      </c>
      <c r="S406" s="590">
        <f>'Transaction Details'!$H$30</f>
        <v>0.79722222222222228</v>
      </c>
      <c r="T406" s="590">
        <f>'Transaction Details'!$H$31</f>
        <v>0.20277777777777772</v>
      </c>
    </row>
    <row r="407" spans="1:20" outlineLevel="1" x14ac:dyDescent="0.45">
      <c r="A407" s="111"/>
      <c r="B407" s="124"/>
      <c r="C407" s="122"/>
      <c r="D407" s="122"/>
      <c r="E407" s="122"/>
      <c r="F407" s="64" t="s">
        <v>123</v>
      </c>
      <c r="G407" s="426" t="s">
        <v>124</v>
      </c>
      <c r="H407" s="426" t="s">
        <v>124</v>
      </c>
      <c r="I407" s="426" t="s">
        <v>124</v>
      </c>
      <c r="J407" s="426" t="s">
        <v>124</v>
      </c>
      <c r="K407" s="426" t="s">
        <v>124</v>
      </c>
      <c r="L407" s="426" t="s">
        <v>124</v>
      </c>
      <c r="M407" s="426" t="s">
        <v>124</v>
      </c>
      <c r="N407" s="426" t="s">
        <v>124</v>
      </c>
      <c r="O407" s="426" t="s">
        <v>124</v>
      </c>
      <c r="P407" s="426" t="s">
        <v>124</v>
      </c>
      <c r="Q407" s="426" t="s">
        <v>124</v>
      </c>
      <c r="R407" s="426" t="s">
        <v>124</v>
      </c>
      <c r="S407" s="426" t="s">
        <v>124</v>
      </c>
      <c r="T407" s="426" t="s">
        <v>124</v>
      </c>
    </row>
    <row r="408" spans="1:20" outlineLevel="1" x14ac:dyDescent="0.45">
      <c r="A408" s="111"/>
      <c r="B408" s="124"/>
      <c r="C408" s="122"/>
      <c r="D408" s="122"/>
      <c r="E408" s="122"/>
      <c r="F408" s="64"/>
      <c r="G408" s="103"/>
      <c r="H408" s="103"/>
      <c r="I408" s="103"/>
      <c r="J408" s="103"/>
      <c r="K408" s="103"/>
      <c r="L408" s="103"/>
      <c r="M408" s="103"/>
      <c r="N408" s="103"/>
      <c r="O408" s="103"/>
      <c r="P408" s="103"/>
      <c r="Q408" s="103"/>
      <c r="R408" s="103"/>
      <c r="S408" s="103"/>
      <c r="T408" s="103"/>
    </row>
    <row r="409" spans="1:20" outlineLevel="1" x14ac:dyDescent="0.45">
      <c r="A409" s="111"/>
      <c r="B409" s="116" t="s">
        <v>337</v>
      </c>
      <c r="F409" s="114"/>
      <c r="G409" s="114"/>
      <c r="H409" s="114"/>
      <c r="I409" s="114"/>
      <c r="J409" s="114"/>
      <c r="K409" s="114"/>
      <c r="L409" s="114"/>
      <c r="M409" s="114"/>
      <c r="N409" s="114"/>
      <c r="O409" s="114"/>
      <c r="P409" s="114"/>
      <c r="Q409" s="114"/>
      <c r="R409" s="114"/>
      <c r="S409"/>
      <c r="T409"/>
    </row>
    <row r="410" spans="1:20" outlineLevel="1" x14ac:dyDescent="0.45">
      <c r="A410" s="111"/>
      <c r="B410" s="185" t="s">
        <v>338</v>
      </c>
      <c r="F410" s="114"/>
      <c r="G410" s="104"/>
      <c r="H410" s="546">
        <f>G412</f>
        <v>348179</v>
      </c>
      <c r="I410" s="546">
        <f t="shared" ref="I410:K410" si="434">H412</f>
        <v>539338</v>
      </c>
      <c r="J410" s="546">
        <f t="shared" si="434"/>
        <v>526633</v>
      </c>
      <c r="K410" s="546">
        <f t="shared" si="434"/>
        <v>513925</v>
      </c>
      <c r="L410" s="546">
        <f>S410</f>
        <v>568793</v>
      </c>
      <c r="M410" s="546">
        <f>L412</f>
        <v>0</v>
      </c>
      <c r="N410" s="546">
        <f t="shared" ref="N410:R410" si="435">M412</f>
        <v>0</v>
      </c>
      <c r="O410" s="546">
        <f t="shared" si="435"/>
        <v>0</v>
      </c>
      <c r="P410" s="546">
        <f t="shared" si="435"/>
        <v>0</v>
      </c>
      <c r="Q410" s="546">
        <f t="shared" si="435"/>
        <v>0</v>
      </c>
      <c r="R410" s="546">
        <f t="shared" si="435"/>
        <v>0</v>
      </c>
      <c r="S410" s="546">
        <f>K412</f>
        <v>568793</v>
      </c>
      <c r="T410" s="546">
        <f>S412</f>
        <v>544986</v>
      </c>
    </row>
    <row r="411" spans="1:20" outlineLevel="1" x14ac:dyDescent="0.45">
      <c r="A411" s="111"/>
      <c r="B411" s="185" t="s">
        <v>339</v>
      </c>
      <c r="F411" s="114"/>
      <c r="G411" s="104"/>
      <c r="H411" s="104"/>
      <c r="I411" s="104"/>
      <c r="J411" s="104"/>
      <c r="K411" s="104"/>
      <c r="L411" s="569">
        <f>SUM(S411:T411)</f>
        <v>-568793</v>
      </c>
      <c r="M411" s="570">
        <f>-M410</f>
        <v>0</v>
      </c>
      <c r="N411" s="570">
        <f t="shared" ref="N411:R411" si="436">-N410</f>
        <v>0</v>
      </c>
      <c r="O411" s="570">
        <f t="shared" si="436"/>
        <v>0</v>
      </c>
      <c r="P411" s="570">
        <f t="shared" si="436"/>
        <v>0</v>
      </c>
      <c r="Q411" s="570">
        <f t="shared" si="436"/>
        <v>0</v>
      </c>
      <c r="R411" s="570">
        <f t="shared" si="436"/>
        <v>0</v>
      </c>
      <c r="S411" s="588">
        <v>-23807</v>
      </c>
      <c r="T411" s="553">
        <f>-('Transaction Details'!O7+'Transaction Details'!O8)</f>
        <v>-544986</v>
      </c>
    </row>
    <row r="412" spans="1:20" outlineLevel="1" x14ac:dyDescent="0.45">
      <c r="A412" s="111"/>
      <c r="B412" s="116" t="s">
        <v>340</v>
      </c>
      <c r="F412" s="114"/>
      <c r="G412" s="546">
        <f>G67+G77</f>
        <v>348179</v>
      </c>
      <c r="H412" s="546">
        <f>H67+H77</f>
        <v>539338</v>
      </c>
      <c r="I412" s="546">
        <f>I67+I77</f>
        <v>526633</v>
      </c>
      <c r="J412" s="546">
        <f>J67+J77</f>
        <v>513925</v>
      </c>
      <c r="K412" s="546">
        <f>K67+K77</f>
        <v>568793</v>
      </c>
      <c r="L412" s="546">
        <f>SUM(L410:L411)</f>
        <v>0</v>
      </c>
      <c r="M412" s="546">
        <f>SUM(M410:M411)</f>
        <v>0</v>
      </c>
      <c r="N412" s="546">
        <f t="shared" ref="N412:R412" si="437">SUM(N410:N411)</f>
        <v>0</v>
      </c>
      <c r="O412" s="546">
        <f t="shared" si="437"/>
        <v>0</v>
      </c>
      <c r="P412" s="546">
        <f t="shared" si="437"/>
        <v>0</v>
      </c>
      <c r="Q412" s="546">
        <f t="shared" si="437"/>
        <v>0</v>
      </c>
      <c r="R412" s="546">
        <f t="shared" si="437"/>
        <v>0</v>
      </c>
      <c r="S412" s="546">
        <f>SUM(S410:S411)</f>
        <v>544986</v>
      </c>
      <c r="T412" s="546">
        <f>SUM(T410:T411)</f>
        <v>0</v>
      </c>
    </row>
    <row r="413" spans="1:20" outlineLevel="1" x14ac:dyDescent="0.45">
      <c r="A413" s="111"/>
      <c r="B413" s="116"/>
      <c r="F413" s="114"/>
      <c r="G413" s="115"/>
      <c r="H413" s="115"/>
      <c r="I413" s="115"/>
      <c r="J413" s="115"/>
      <c r="K413" s="115"/>
      <c r="L413" s="115"/>
      <c r="M413" s="115"/>
      <c r="N413" s="114"/>
      <c r="O413" s="114"/>
      <c r="P413" s="114"/>
      <c r="Q413" s="114"/>
      <c r="R413" s="114"/>
      <c r="S413"/>
      <c r="T413"/>
    </row>
    <row r="414" spans="1:20" outlineLevel="1" x14ac:dyDescent="0.45">
      <c r="A414" s="111"/>
      <c r="B414" s="116" t="s">
        <v>341</v>
      </c>
      <c r="F414" s="114"/>
      <c r="G414" s="115"/>
      <c r="H414" s="115"/>
      <c r="I414" s="115"/>
      <c r="J414" s="115"/>
      <c r="K414" s="115"/>
      <c r="L414" s="115"/>
      <c r="M414" s="115"/>
      <c r="N414" s="115"/>
      <c r="O414" s="115"/>
      <c r="P414" s="115"/>
      <c r="Q414" s="115"/>
      <c r="R414" s="115"/>
      <c r="S414"/>
      <c r="T414"/>
    </row>
    <row r="415" spans="1:20" outlineLevel="1" x14ac:dyDescent="0.45">
      <c r="A415" s="111"/>
      <c r="B415" s="111" t="s">
        <v>342</v>
      </c>
      <c r="F415" s="114"/>
      <c r="G415" s="552">
        <f>Model!G22</f>
        <v>-1080</v>
      </c>
      <c r="H415" s="552">
        <f>Model!H22</f>
        <v>-10043</v>
      </c>
      <c r="I415" s="552">
        <f>Model!I22</f>
        <v>-11081</v>
      </c>
      <c r="J415" s="552">
        <f>Model!J22</f>
        <v>-18207</v>
      </c>
      <c r="K415" s="552">
        <f>Model!K22</f>
        <v>-36768</v>
      </c>
      <c r="L415" s="552">
        <f>SUM(S415:T415)</f>
        <v>-16249.107460833335</v>
      </c>
      <c r="M415" s="552">
        <f>AVERAGE(M410,M412)*M416*M406*-1</f>
        <v>0</v>
      </c>
      <c r="N415" s="552">
        <f t="shared" ref="N415:R415" si="438">AVERAGE(N410,N412)*N416*N406*-1</f>
        <v>0</v>
      </c>
      <c r="O415" s="552">
        <f t="shared" si="438"/>
        <v>0</v>
      </c>
      <c r="P415" s="552">
        <f t="shared" si="438"/>
        <v>0</v>
      </c>
      <c r="Q415" s="552">
        <f t="shared" si="438"/>
        <v>0</v>
      </c>
      <c r="R415" s="552">
        <f t="shared" si="438"/>
        <v>0</v>
      </c>
      <c r="S415" s="552">
        <f>AVERAGE(S410,S412)*S$406*S416*-1</f>
        <v>-16249.107460833335</v>
      </c>
      <c r="T415" s="552">
        <f>AVERAGE(T410,T412)*T$406*T416*-1</f>
        <v>0</v>
      </c>
    </row>
    <row r="416" spans="1:20" outlineLevel="1" x14ac:dyDescent="0.45">
      <c r="A416" s="111"/>
      <c r="B416" s="352" t="s">
        <v>174</v>
      </c>
      <c r="F416" s="114"/>
      <c r="G416" s="353"/>
      <c r="H416" s="575">
        <f>ABS(H415/AVERAGE(H410,H412))</f>
        <v>2.2631679167835657E-2</v>
      </c>
      <c r="I416" s="575">
        <f t="shared" ref="I416:K416" si="439">ABS(I415/AVERAGE(I410,I412))</f>
        <v>2.0790434261344821E-2</v>
      </c>
      <c r="J416" s="575">
        <f t="shared" si="439"/>
        <v>3.4994685543717888E-2</v>
      </c>
      <c r="K416" s="575">
        <f t="shared" si="439"/>
        <v>6.7917962017810737E-2</v>
      </c>
      <c r="L416" s="576">
        <f>'Key Inputs and Drivers'!L114</f>
        <v>3.6600000000000001E-2</v>
      </c>
      <c r="M416" s="576">
        <f>'Key Inputs and Drivers'!M114</f>
        <v>3.6600000000000001E-2</v>
      </c>
      <c r="N416" s="576">
        <f>'Key Inputs and Drivers'!N114</f>
        <v>3.6600000000000001E-2</v>
      </c>
      <c r="O416" s="576">
        <f>'Key Inputs and Drivers'!O114</f>
        <v>3.6600000000000001E-2</v>
      </c>
      <c r="P416" s="576">
        <f>'Key Inputs and Drivers'!P114</f>
        <v>3.6600000000000001E-2</v>
      </c>
      <c r="Q416" s="576">
        <f>'Key Inputs and Drivers'!Q114</f>
        <v>3.6600000000000001E-2</v>
      </c>
      <c r="R416" s="576">
        <f>'Key Inputs and Drivers'!R114</f>
        <v>3.6600000000000001E-2</v>
      </c>
      <c r="S416" s="577">
        <f>$L$416</f>
        <v>3.6600000000000001E-2</v>
      </c>
      <c r="T416" s="411">
        <v>0</v>
      </c>
    </row>
    <row r="417" spans="1:20" x14ac:dyDescent="0.45">
      <c r="A417" s="111"/>
      <c r="B417" s="116"/>
      <c r="F417" s="114"/>
      <c r="G417" s="115"/>
      <c r="H417" s="115"/>
      <c r="I417" s="115"/>
      <c r="J417" s="115"/>
      <c r="K417" s="115"/>
      <c r="L417" s="115"/>
      <c r="M417" s="115"/>
      <c r="N417" s="115"/>
      <c r="O417" s="115"/>
      <c r="P417" s="115"/>
      <c r="Q417" s="115"/>
      <c r="R417" s="115"/>
    </row>
    <row r="418" spans="1:20" ht="15" customHeight="1" x14ac:dyDescent="0.45">
      <c r="A418" s="107" t="s">
        <v>18</v>
      </c>
      <c r="B418" s="108" t="s">
        <v>343</v>
      </c>
      <c r="C418" s="109"/>
      <c r="D418" s="109"/>
      <c r="E418" s="109"/>
      <c r="F418" s="109"/>
      <c r="G418" s="109"/>
      <c r="H418" s="109"/>
      <c r="I418" s="109"/>
      <c r="J418" s="109"/>
      <c r="K418" s="109"/>
      <c r="L418" s="109"/>
      <c r="M418" s="109"/>
      <c r="N418" s="109"/>
      <c r="O418" s="109"/>
      <c r="P418" s="109"/>
      <c r="Q418" s="109"/>
      <c r="R418" s="109"/>
      <c r="S418" s="109"/>
      <c r="T418" s="109"/>
    </row>
    <row r="419" spans="1:20" outlineLevel="1" x14ac:dyDescent="0.45">
      <c r="A419" s="111"/>
      <c r="B419" s="616" t="s">
        <v>21</v>
      </c>
      <c r="C419" s="616"/>
      <c r="D419" s="122"/>
      <c r="E419" s="122"/>
      <c r="F419" s="3"/>
      <c r="G419" s="3"/>
      <c r="H419" s="3"/>
      <c r="I419" s="3"/>
      <c r="J419" s="3"/>
      <c r="K419" s="3"/>
      <c r="L419" s="3"/>
      <c r="M419" s="3"/>
      <c r="N419" s="3"/>
      <c r="O419" s="3"/>
      <c r="P419" s="3"/>
      <c r="Q419" s="3"/>
      <c r="R419" s="3"/>
      <c r="S419" s="614" t="s">
        <v>176</v>
      </c>
      <c r="T419" s="614"/>
    </row>
    <row r="420" spans="1:20" ht="14.65" outlineLevel="1" thickBot="1" x14ac:dyDescent="0.5">
      <c r="A420" s="111"/>
      <c r="B420" s="291"/>
      <c r="C420" s="291"/>
      <c r="D420" s="122"/>
      <c r="E420" s="122"/>
      <c r="F420" s="3"/>
      <c r="G420" s="3"/>
      <c r="H420" s="3"/>
      <c r="I420" s="3"/>
      <c r="J420" s="3"/>
      <c r="K420" s="3"/>
      <c r="L420" s="101" t="s">
        <v>117</v>
      </c>
      <c r="M420" s="102">
        <v>2025</v>
      </c>
      <c r="N420" s="102">
        <f>M420+1</f>
        <v>2026</v>
      </c>
      <c r="O420" s="102">
        <f t="shared" ref="O420" si="440">N420+1</f>
        <v>2027</v>
      </c>
      <c r="P420" s="102">
        <f t="shared" ref="P420" si="441">O420+1</f>
        <v>2028</v>
      </c>
      <c r="Q420" s="102">
        <f>P420+1</f>
        <v>2029</v>
      </c>
      <c r="R420" s="102">
        <f>Q420+1</f>
        <v>2030</v>
      </c>
      <c r="S420" s="284">
        <v>45582</v>
      </c>
      <c r="T420" s="284">
        <v>45657</v>
      </c>
    </row>
    <row r="421" spans="1:20" outlineLevel="1" x14ac:dyDescent="0.45">
      <c r="A421" s="111"/>
      <c r="B421" s="291"/>
      <c r="C421" s="291"/>
      <c r="D421" s="122"/>
      <c r="E421" s="122"/>
      <c r="F421" s="64"/>
      <c r="G421" s="3"/>
      <c r="H421" s="3"/>
      <c r="I421" s="3"/>
      <c r="J421" s="3"/>
      <c r="K421" s="64" t="s">
        <v>119</v>
      </c>
      <c r="L421" s="350">
        <f t="shared" ref="L421:T421" si="442">L5</f>
        <v>45657</v>
      </c>
      <c r="M421" s="350">
        <f t="shared" si="442"/>
        <v>46022</v>
      </c>
      <c r="N421" s="350">
        <f t="shared" si="442"/>
        <v>46387</v>
      </c>
      <c r="O421" s="350">
        <f t="shared" si="442"/>
        <v>46752</v>
      </c>
      <c r="P421" s="350">
        <f t="shared" si="442"/>
        <v>47118</v>
      </c>
      <c r="Q421" s="350">
        <f t="shared" si="442"/>
        <v>47483</v>
      </c>
      <c r="R421" s="350">
        <f t="shared" si="442"/>
        <v>47848</v>
      </c>
      <c r="S421" s="350">
        <f t="shared" si="442"/>
        <v>45582</v>
      </c>
      <c r="T421" s="350">
        <f t="shared" si="442"/>
        <v>45657</v>
      </c>
    </row>
    <row r="422" spans="1:20" outlineLevel="1" x14ac:dyDescent="0.45">
      <c r="A422" s="111"/>
      <c r="B422" s="291"/>
      <c r="C422" s="291"/>
      <c r="D422" s="122"/>
      <c r="E422" s="122"/>
      <c r="F422" s="64"/>
      <c r="G422" s="3"/>
      <c r="H422" s="3"/>
      <c r="I422" s="3"/>
      <c r="J422" s="3"/>
      <c r="K422" s="64" t="s">
        <v>120</v>
      </c>
      <c r="L422" s="351">
        <f t="shared" ref="L422:T422" si="443">L6</f>
        <v>365</v>
      </c>
      <c r="M422" s="351">
        <f t="shared" si="443"/>
        <v>365</v>
      </c>
      <c r="N422" s="351">
        <f t="shared" si="443"/>
        <v>365</v>
      </c>
      <c r="O422" s="351">
        <f t="shared" si="443"/>
        <v>365</v>
      </c>
      <c r="P422" s="351">
        <f t="shared" si="443"/>
        <v>365</v>
      </c>
      <c r="Q422" s="351">
        <f t="shared" si="443"/>
        <v>365</v>
      </c>
      <c r="R422" s="351">
        <f t="shared" si="443"/>
        <v>365</v>
      </c>
      <c r="S422" s="351">
        <f t="shared" si="443"/>
        <v>291</v>
      </c>
      <c r="T422" s="351">
        <f t="shared" si="443"/>
        <v>75</v>
      </c>
    </row>
    <row r="423" spans="1:20" outlineLevel="1" x14ac:dyDescent="0.45">
      <c r="A423" s="111"/>
      <c r="B423" s="291"/>
      <c r="C423" s="291"/>
      <c r="D423" s="122"/>
      <c r="E423" s="122"/>
      <c r="F423" s="64"/>
      <c r="G423" s="3"/>
      <c r="H423" s="3"/>
      <c r="I423" s="3"/>
      <c r="J423" s="3"/>
      <c r="K423" s="64" t="s">
        <v>122</v>
      </c>
      <c r="L423" s="591">
        <f t="shared" ref="L423:T423" si="444">L7</f>
        <v>1</v>
      </c>
      <c r="M423" s="591">
        <f t="shared" si="444"/>
        <v>1</v>
      </c>
      <c r="N423" s="591">
        <f t="shared" si="444"/>
        <v>1</v>
      </c>
      <c r="O423" s="591">
        <f t="shared" si="444"/>
        <v>1</v>
      </c>
      <c r="P423" s="591">
        <f t="shared" si="444"/>
        <v>1</v>
      </c>
      <c r="Q423" s="591">
        <f t="shared" si="444"/>
        <v>1</v>
      </c>
      <c r="R423" s="591">
        <f t="shared" si="444"/>
        <v>1</v>
      </c>
      <c r="S423" s="591">
        <f t="shared" si="444"/>
        <v>0.79722222222222228</v>
      </c>
      <c r="T423" s="591">
        <f t="shared" si="444"/>
        <v>0.20277777777777772</v>
      </c>
    </row>
    <row r="424" spans="1:20" outlineLevel="1" x14ac:dyDescent="0.45">
      <c r="A424" s="111"/>
      <c r="B424" s="124"/>
      <c r="C424" s="122"/>
      <c r="D424" s="122"/>
      <c r="E424" s="122"/>
      <c r="F424" s="64"/>
      <c r="G424" s="3"/>
      <c r="H424" s="3"/>
      <c r="I424" s="3"/>
      <c r="J424" s="3"/>
      <c r="K424" s="64" t="s">
        <v>123</v>
      </c>
      <c r="L424" s="350" t="str">
        <f t="shared" ref="L424:T424" si="445">L8</f>
        <v>USD, $000</v>
      </c>
      <c r="M424" s="350" t="str">
        <f t="shared" si="445"/>
        <v>USD, $000</v>
      </c>
      <c r="N424" s="350" t="str">
        <f t="shared" si="445"/>
        <v>USD, $000</v>
      </c>
      <c r="O424" s="350" t="str">
        <f t="shared" si="445"/>
        <v>USD, $000</v>
      </c>
      <c r="P424" s="350" t="str">
        <f t="shared" si="445"/>
        <v>USD, $000</v>
      </c>
      <c r="Q424" s="350" t="str">
        <f t="shared" si="445"/>
        <v>USD, $000</v>
      </c>
      <c r="R424" s="350" t="str">
        <f t="shared" si="445"/>
        <v>USD, $000</v>
      </c>
      <c r="S424" s="350" t="str">
        <f t="shared" si="445"/>
        <v>USD, $000</v>
      </c>
      <c r="T424" s="350" t="str">
        <f t="shared" si="445"/>
        <v>USD, $000</v>
      </c>
    </row>
    <row r="425" spans="1:20" outlineLevel="1" x14ac:dyDescent="0.45">
      <c r="A425" s="111"/>
      <c r="B425" s="116"/>
      <c r="F425" s="114"/>
      <c r="L425" s="115"/>
      <c r="M425" s="115"/>
      <c r="N425" s="115"/>
      <c r="O425" s="115"/>
      <c r="P425" s="115"/>
      <c r="Q425" s="115"/>
      <c r="R425" s="115"/>
    </row>
    <row r="426" spans="1:20" outlineLevel="1" x14ac:dyDescent="0.45">
      <c r="B426" s="114" t="s">
        <v>170</v>
      </c>
      <c r="L426" s="128"/>
    </row>
    <row r="427" spans="1:20" outlineLevel="1" x14ac:dyDescent="0.45">
      <c r="B427" s="191" t="s">
        <v>344</v>
      </c>
      <c r="L427" s="546">
        <f ca="1">T157</f>
        <v>329961.41795822652</v>
      </c>
      <c r="M427" s="546">
        <f t="shared" ref="M427:R427" ca="1" si="446">M157</f>
        <v>12353.438354750804</v>
      </c>
      <c r="N427" s="546">
        <f t="shared" ca="1" si="446"/>
        <v>38778</v>
      </c>
      <c r="O427" s="546">
        <f t="shared" ca="1" si="446"/>
        <v>38778</v>
      </c>
      <c r="P427" s="546">
        <f t="shared" ca="1" si="446"/>
        <v>38778</v>
      </c>
      <c r="Q427" s="546">
        <f t="shared" ca="1" si="446"/>
        <v>38778</v>
      </c>
      <c r="R427" s="546">
        <f t="shared" ca="1" si="446"/>
        <v>158855.28564968749</v>
      </c>
      <c r="S427" s="546">
        <v>0</v>
      </c>
      <c r="T427" s="546">
        <f ca="1">T157</f>
        <v>329961.41795822652</v>
      </c>
    </row>
    <row r="428" spans="1:20" outlineLevel="1" x14ac:dyDescent="0.45">
      <c r="B428" s="190" t="s">
        <v>345</v>
      </c>
      <c r="L428" s="546">
        <f t="shared" ref="L428:L431" ca="1" si="447">T428</f>
        <v>-120883.60895402991</v>
      </c>
      <c r="M428" s="546">
        <f t="shared" ref="M428:R428" ca="1" si="448">M123</f>
        <v>-9655.438144219479</v>
      </c>
      <c r="N428" s="546">
        <f t="shared" ca="1" si="448"/>
        <v>52441.196672537444</v>
      </c>
      <c r="O428" s="546">
        <f t="shared" ca="1" si="448"/>
        <v>129414.20839682007</v>
      </c>
      <c r="P428" s="546">
        <f t="shared" ca="1" si="448"/>
        <v>246822.0361758045</v>
      </c>
      <c r="Q428" s="546">
        <f t="shared" ca="1" si="448"/>
        <v>377930.82258222968</v>
      </c>
      <c r="R428" s="546">
        <f t="shared" ca="1" si="448"/>
        <v>579904.80413012381</v>
      </c>
      <c r="S428" s="546">
        <v>0</v>
      </c>
      <c r="T428" s="546">
        <f ca="1">T123</f>
        <v>-120883.60895402991</v>
      </c>
    </row>
    <row r="429" spans="1:20" outlineLevel="1" x14ac:dyDescent="0.45">
      <c r="B429" s="190" t="s">
        <v>346</v>
      </c>
      <c r="L429" s="546">
        <f t="shared" si="447"/>
        <v>-10746.658788836665</v>
      </c>
      <c r="M429" s="546">
        <f t="shared" ref="M429:R429" si="449">M132</f>
        <v>-58693.984231099792</v>
      </c>
      <c r="N429" s="546">
        <f t="shared" si="449"/>
        <v>-65938.373181678253</v>
      </c>
      <c r="O429" s="546">
        <f t="shared" si="449"/>
        <v>-74984.628766734706</v>
      </c>
      <c r="P429" s="546">
        <f t="shared" si="449"/>
        <v>-85706.618223428319</v>
      </c>
      <c r="Q429" s="546">
        <f t="shared" si="449"/>
        <v>-98283.830091364216</v>
      </c>
      <c r="R429" s="546">
        <f t="shared" si="449"/>
        <v>-113462.32245417056</v>
      </c>
      <c r="S429" s="546">
        <v>0</v>
      </c>
      <c r="T429" s="546">
        <f>T132</f>
        <v>-10746.658788836665</v>
      </c>
    </row>
    <row r="430" spans="1:20" outlineLevel="1" x14ac:dyDescent="0.45">
      <c r="B430" s="190" t="s">
        <v>347</v>
      </c>
      <c r="L430" s="546">
        <f>T430</f>
        <v>0</v>
      </c>
      <c r="M430" s="546">
        <f t="shared" ref="M430:R430" si="450">M473+M488</f>
        <v>-19500</v>
      </c>
      <c r="N430" s="546">
        <f t="shared" si="450"/>
        <v>-26000</v>
      </c>
      <c r="O430" s="546">
        <f t="shared" si="450"/>
        <v>-26000</v>
      </c>
      <c r="P430" s="546">
        <f t="shared" si="450"/>
        <v>-26000</v>
      </c>
      <c r="Q430" s="546">
        <f t="shared" si="450"/>
        <v>-26000</v>
      </c>
      <c r="R430" s="546">
        <f t="shared" si="450"/>
        <v>-26000</v>
      </c>
      <c r="S430" s="546">
        <v>0</v>
      </c>
      <c r="T430" s="546">
        <f>T473</f>
        <v>0</v>
      </c>
    </row>
    <row r="431" spans="1:20" outlineLevel="1" x14ac:dyDescent="0.45">
      <c r="B431" s="190" t="s">
        <v>93</v>
      </c>
      <c r="L431" s="552">
        <f t="shared" si="447"/>
        <v>-38778</v>
      </c>
      <c r="M431" s="552">
        <f t="shared" ref="M431:R431" si="451">-M49</f>
        <v>-38778</v>
      </c>
      <c r="N431" s="552">
        <f t="shared" si="451"/>
        <v>-38778</v>
      </c>
      <c r="O431" s="552">
        <f t="shared" si="451"/>
        <v>-38778</v>
      </c>
      <c r="P431" s="552">
        <f t="shared" si="451"/>
        <v>-38778</v>
      </c>
      <c r="Q431" s="552">
        <f t="shared" si="451"/>
        <v>-38778</v>
      </c>
      <c r="R431" s="552">
        <f t="shared" si="451"/>
        <v>-38778</v>
      </c>
      <c r="S431" s="552">
        <v>0</v>
      </c>
      <c r="T431" s="552">
        <f>-T49</f>
        <v>-38778</v>
      </c>
    </row>
    <row r="432" spans="1:20" outlineLevel="1" x14ac:dyDescent="0.45">
      <c r="B432" s="130" t="s">
        <v>348</v>
      </c>
      <c r="L432" s="546">
        <f t="shared" ref="L432:T432" ca="1" si="452">SUM(L427:L431)</f>
        <v>159553.15021535993</v>
      </c>
      <c r="M432" s="546">
        <f t="shared" ca="1" si="452"/>
        <v>-114273.98402056846</v>
      </c>
      <c r="N432" s="546">
        <f t="shared" ca="1" si="452"/>
        <v>-39497.176509140801</v>
      </c>
      <c r="O432" s="546">
        <f t="shared" ca="1" si="452"/>
        <v>28429.579630085354</v>
      </c>
      <c r="P432" s="546">
        <f t="shared" ca="1" si="452"/>
        <v>135115.41795237618</v>
      </c>
      <c r="Q432" s="546">
        <f t="shared" ca="1" si="452"/>
        <v>253646.99249086546</v>
      </c>
      <c r="R432" s="546">
        <f t="shared" ca="1" si="452"/>
        <v>560519.76732564077</v>
      </c>
      <c r="S432" s="546">
        <f t="shared" si="452"/>
        <v>0</v>
      </c>
      <c r="T432" s="546">
        <f t="shared" ca="1" si="452"/>
        <v>159553.15021535993</v>
      </c>
    </row>
    <row r="433" spans="2:20" outlineLevel="1" x14ac:dyDescent="0.45"/>
    <row r="434" spans="2:20" outlineLevel="1" x14ac:dyDescent="0.45">
      <c r="B434" s="130" t="s">
        <v>349</v>
      </c>
      <c r="G434" s="131" t="s">
        <v>350</v>
      </c>
    </row>
    <row r="435" spans="2:20" outlineLevel="1" x14ac:dyDescent="0.45">
      <c r="B435" s="129" t="s">
        <v>351</v>
      </c>
      <c r="G435" s="524">
        <f>'Transaction Details'!G48</f>
        <v>250000</v>
      </c>
      <c r="L435" s="546">
        <f>T435</f>
        <v>50000</v>
      </c>
      <c r="M435" s="546">
        <f>L437</f>
        <v>50000</v>
      </c>
      <c r="N435" s="546">
        <f t="shared" ref="N435:R435" ca="1" si="453">M437</f>
        <v>164273.98402056846</v>
      </c>
      <c r="O435" s="546">
        <f t="shared" ca="1" si="453"/>
        <v>203771.16052970925</v>
      </c>
      <c r="P435" s="546">
        <f t="shared" ca="1" si="453"/>
        <v>175341.58089962389</v>
      </c>
      <c r="Q435" s="546">
        <f t="shared" ca="1" si="453"/>
        <v>40226.162947247707</v>
      </c>
      <c r="R435" s="546">
        <f t="shared" ca="1" si="453"/>
        <v>0</v>
      </c>
      <c r="S435" s="345">
        <v>0</v>
      </c>
      <c r="T435" s="521">
        <f>'Transaction Details'!E48</f>
        <v>50000</v>
      </c>
    </row>
    <row r="436" spans="2:20" outlineLevel="1" x14ac:dyDescent="0.45">
      <c r="B436" s="129" t="s">
        <v>352</v>
      </c>
      <c r="L436" s="552">
        <f>T436</f>
        <v>0</v>
      </c>
      <c r="M436" s="552">
        <f ca="1">IF(M435&gt;=$G$435,0,MIN($G$435,-MIN(M435,M432)))</f>
        <v>114273.98402056846</v>
      </c>
      <c r="N436" s="552">
        <f t="shared" ref="N436:R436" ca="1" si="454">IF(N435&gt;=$G$435,0,MIN($G$435,-MIN(N435,N432)))</f>
        <v>39497.176509140801</v>
      </c>
      <c r="O436" s="552">
        <f t="shared" ca="1" si="454"/>
        <v>-28429.579630085354</v>
      </c>
      <c r="P436" s="552">
        <f t="shared" ca="1" si="454"/>
        <v>-135115.41795237618</v>
      </c>
      <c r="Q436" s="552">
        <f t="shared" ca="1" si="454"/>
        <v>-40226.162947247707</v>
      </c>
      <c r="R436" s="552">
        <f t="shared" ca="1" si="454"/>
        <v>0</v>
      </c>
      <c r="S436" s="552">
        <v>0</v>
      </c>
      <c r="T436" s="552">
        <v>0</v>
      </c>
    </row>
    <row r="437" spans="2:20" outlineLevel="1" x14ac:dyDescent="0.45">
      <c r="B437" s="129" t="s">
        <v>353</v>
      </c>
      <c r="L437" s="546">
        <f>SUM(L435:L436)</f>
        <v>50000</v>
      </c>
      <c r="M437" s="546">
        <f ca="1">SUM(M435:M436)</f>
        <v>164273.98402056846</v>
      </c>
      <c r="N437" s="546">
        <f t="shared" ref="N437:R437" ca="1" si="455">SUM(N435:N436)</f>
        <v>203771.16052970925</v>
      </c>
      <c r="O437" s="546">
        <f t="shared" ca="1" si="455"/>
        <v>175341.58089962389</v>
      </c>
      <c r="P437" s="546">
        <f t="shared" ca="1" si="455"/>
        <v>40226.162947247707</v>
      </c>
      <c r="Q437" s="546">
        <f t="shared" ca="1" si="455"/>
        <v>0</v>
      </c>
      <c r="R437" s="546">
        <f t="shared" ca="1" si="455"/>
        <v>0</v>
      </c>
      <c r="S437" s="546">
        <f t="shared" ref="S437" si="456">SUM(S435:S436)</f>
        <v>0</v>
      </c>
      <c r="T437" s="546">
        <f>SUM(T435:T436)</f>
        <v>50000</v>
      </c>
    </row>
    <row r="438" spans="2:20" outlineLevel="1" x14ac:dyDescent="0.45"/>
    <row r="439" spans="2:20" outlineLevel="1" x14ac:dyDescent="0.45">
      <c r="B439" s="130" t="s">
        <v>354</v>
      </c>
      <c r="L439" s="205">
        <f>IF(L436&gt;$G$435,1,0)</f>
        <v>0</v>
      </c>
      <c r="M439" s="206">
        <f t="shared" ref="M439:R439" ca="1" si="457">IF(M436&gt;$G$435,1,0)</f>
        <v>0</v>
      </c>
      <c r="N439" s="206">
        <f t="shared" ca="1" si="457"/>
        <v>0</v>
      </c>
      <c r="O439" s="206">
        <f t="shared" ca="1" si="457"/>
        <v>0</v>
      </c>
      <c r="P439" s="206">
        <f t="shared" ca="1" si="457"/>
        <v>0</v>
      </c>
      <c r="Q439" s="206">
        <f t="shared" ca="1" si="457"/>
        <v>0</v>
      </c>
      <c r="R439" s="206">
        <f t="shared" ca="1" si="457"/>
        <v>0</v>
      </c>
      <c r="S439" s="206">
        <f t="shared" ref="S439:T439" si="458">IF(S436&gt;$G$435,1,0)</f>
        <v>0</v>
      </c>
      <c r="T439" s="207">
        <f t="shared" si="458"/>
        <v>0</v>
      </c>
    </row>
    <row r="440" spans="2:20" outlineLevel="1" x14ac:dyDescent="0.45">
      <c r="B440" s="129"/>
    </row>
    <row r="441" spans="2:20" outlineLevel="1" x14ac:dyDescent="0.45">
      <c r="B441" s="129" t="s">
        <v>174</v>
      </c>
      <c r="L441" s="526">
        <f>T441</f>
        <v>0.10300000000000001</v>
      </c>
      <c r="M441" s="527">
        <f>'Key Inputs and Drivers'!M99</f>
        <v>0.10031666666666667</v>
      </c>
      <c r="N441" s="527">
        <f>'Key Inputs and Drivers'!N99</f>
        <v>9.7633333333333336E-2</v>
      </c>
      <c r="O441" s="527">
        <f>'Key Inputs and Drivers'!O99</f>
        <v>9.4950000000000007E-2</v>
      </c>
      <c r="P441" s="527">
        <f>'Key Inputs and Drivers'!P99</f>
        <v>9.2266666666666677E-2</v>
      </c>
      <c r="Q441" s="527">
        <f>'Key Inputs and Drivers'!Q99</f>
        <v>8.9583333333333348E-2</v>
      </c>
      <c r="R441" s="527">
        <f>'Key Inputs and Drivers'!R99</f>
        <v>8.6900000000000005E-2</v>
      </c>
      <c r="S441" s="345">
        <v>0</v>
      </c>
      <c r="T441" s="527">
        <f>'Key Inputs and Drivers'!L99</f>
        <v>0.10300000000000001</v>
      </c>
    </row>
    <row r="442" spans="2:20" outlineLevel="1" x14ac:dyDescent="0.45">
      <c r="B442" s="129" t="s">
        <v>186</v>
      </c>
      <c r="L442" s="546">
        <f>T442</f>
        <v>-1044.3055555555552</v>
      </c>
      <c r="M442" s="546">
        <f ca="1">IF('Key Inputs and Drivers'!$C$7 = 1, AVERAGE(M435,M437)*M441*-1, 0)</f>
        <v>-10747.625915165012</v>
      </c>
      <c r="N442" s="546">
        <f ca="1">IF('Key Inputs and Drivers'!$C$7 = 1, AVERAGE(N435,N437)*N441*-1, 0)</f>
        <v>-17966.73713979606</v>
      </c>
      <c r="O442" s="546">
        <f ca="1">IF('Key Inputs and Drivers'!$C$7 = 1, AVERAGE(O435,O437)*O441*-1, 0)</f>
        <v>-17998.377399357592</v>
      </c>
      <c r="P442" s="546">
        <f ca="1">IF('Key Inputs and Drivers'!$C$7 = 1, AVERAGE(P435,P437)*P441*-1, 0)</f>
        <v>-9944.8585828023442</v>
      </c>
      <c r="Q442" s="546">
        <f ca="1">IF('Key Inputs and Drivers'!$C$7 = 1, AVERAGE(Q435,Q437)*Q441*-1, 0)</f>
        <v>-1801.7968820121371</v>
      </c>
      <c r="R442" s="546">
        <f ca="1">IF('Key Inputs and Drivers'!$C$7 = 1, AVERAGE(R435,R437)*R441*-1, 0)</f>
        <v>0</v>
      </c>
      <c r="S442" s="546">
        <v>0</v>
      </c>
      <c r="T442" s="546">
        <f>IF('Key Inputs and Drivers'!$C$7 = 1, AVERAGE(T435,T437)*T441*$T$423*-1, 0)</f>
        <v>-1044.3055555555552</v>
      </c>
    </row>
    <row r="443" spans="2:20" outlineLevel="1" x14ac:dyDescent="0.45">
      <c r="B443" s="129"/>
    </row>
    <row r="444" spans="2:20" outlineLevel="1" x14ac:dyDescent="0.45">
      <c r="B444" s="130" t="s">
        <v>355</v>
      </c>
      <c r="G444" s="131" t="s">
        <v>356</v>
      </c>
    </row>
    <row r="445" spans="2:20" outlineLevel="1" x14ac:dyDescent="0.45">
      <c r="B445" s="129" t="s">
        <v>351</v>
      </c>
      <c r="G445" s="525">
        <v>250000</v>
      </c>
      <c r="L445" s="546">
        <f>T445</f>
        <v>200000</v>
      </c>
      <c r="M445" s="546">
        <f>T447</f>
        <v>200000</v>
      </c>
      <c r="N445" s="546">
        <f t="shared" ref="N445:R445" ca="1" si="459">M447</f>
        <v>85726.01597943154</v>
      </c>
      <c r="O445" s="546">
        <f t="shared" ca="1" si="459"/>
        <v>46228.839470290739</v>
      </c>
      <c r="P445" s="546">
        <f t="shared" ca="1" si="459"/>
        <v>74658.419100376093</v>
      </c>
      <c r="Q445" s="546">
        <f t="shared" ca="1" si="459"/>
        <v>209773.83705275226</v>
      </c>
      <c r="R445" s="546">
        <f t="shared" ca="1" si="459"/>
        <v>249999.99999999997</v>
      </c>
      <c r="S445" s="546">
        <v>0</v>
      </c>
      <c r="T445" s="546">
        <f>$G$445-T435</f>
        <v>200000</v>
      </c>
    </row>
    <row r="446" spans="2:20" outlineLevel="1" x14ac:dyDescent="0.45">
      <c r="B446" s="129" t="s">
        <v>357</v>
      </c>
      <c r="L446" s="552">
        <f>T446</f>
        <v>0</v>
      </c>
      <c r="M446" s="552">
        <f t="shared" ref="M446:R446" ca="1" si="460">-M436</f>
        <v>-114273.98402056846</v>
      </c>
      <c r="N446" s="552">
        <f t="shared" ca="1" si="460"/>
        <v>-39497.176509140801</v>
      </c>
      <c r="O446" s="552">
        <f t="shared" ca="1" si="460"/>
        <v>28429.579630085354</v>
      </c>
      <c r="P446" s="552">
        <f t="shared" ca="1" si="460"/>
        <v>135115.41795237618</v>
      </c>
      <c r="Q446" s="552">
        <f t="shared" ca="1" si="460"/>
        <v>40226.162947247707</v>
      </c>
      <c r="R446" s="552">
        <f t="shared" ca="1" si="460"/>
        <v>0</v>
      </c>
      <c r="S446" s="552">
        <v>0</v>
      </c>
      <c r="T446" s="552">
        <f>-T436</f>
        <v>0</v>
      </c>
    </row>
    <row r="447" spans="2:20" outlineLevel="1" x14ac:dyDescent="0.45">
      <c r="B447" s="129" t="s">
        <v>353</v>
      </c>
      <c r="L447" s="546">
        <f t="shared" ref="L447" si="461">T447</f>
        <v>200000</v>
      </c>
      <c r="M447" s="546">
        <f ca="1">SUM(M445:M446)</f>
        <v>85726.01597943154</v>
      </c>
      <c r="N447" s="546">
        <f t="shared" ref="N447:R447" ca="1" si="462">SUM(N445:N446)</f>
        <v>46228.839470290739</v>
      </c>
      <c r="O447" s="546">
        <f t="shared" ca="1" si="462"/>
        <v>74658.419100376093</v>
      </c>
      <c r="P447" s="546">
        <f t="shared" ca="1" si="462"/>
        <v>209773.83705275226</v>
      </c>
      <c r="Q447" s="546">
        <f t="shared" ca="1" si="462"/>
        <v>249999.99999999997</v>
      </c>
      <c r="R447" s="546">
        <f t="shared" ca="1" si="462"/>
        <v>249999.99999999997</v>
      </c>
      <c r="S447" s="546">
        <f t="shared" ref="S447" si="463">SUM(S445:S446)</f>
        <v>0</v>
      </c>
      <c r="T447" s="546">
        <f>SUM(T445:T446)</f>
        <v>200000</v>
      </c>
    </row>
    <row r="448" spans="2:20" outlineLevel="1" x14ac:dyDescent="0.45">
      <c r="B448" s="129"/>
    </row>
    <row r="449" spans="1:20" outlineLevel="1" x14ac:dyDescent="0.45">
      <c r="B449" s="129" t="s">
        <v>358</v>
      </c>
      <c r="L449" s="571">
        <f>T449</f>
        <v>5.0000000000000001E-3</v>
      </c>
      <c r="M449" s="571">
        <f>'Transaction Details'!$J$48</f>
        <v>5.0000000000000001E-3</v>
      </c>
      <c r="N449" s="571">
        <f>'Transaction Details'!$J$48</f>
        <v>5.0000000000000001E-3</v>
      </c>
      <c r="O449" s="571">
        <f>'Transaction Details'!$J$48</f>
        <v>5.0000000000000001E-3</v>
      </c>
      <c r="P449" s="571">
        <f>'Transaction Details'!$J$48</f>
        <v>5.0000000000000001E-3</v>
      </c>
      <c r="Q449" s="571">
        <f>'Transaction Details'!$J$48</f>
        <v>5.0000000000000001E-3</v>
      </c>
      <c r="R449" s="571">
        <f>'Transaction Details'!$J$48</f>
        <v>5.0000000000000001E-3</v>
      </c>
      <c r="S449" s="555">
        <v>0</v>
      </c>
      <c r="T449" s="571">
        <f>'Transaction Details'!$J$48</f>
        <v>5.0000000000000001E-3</v>
      </c>
    </row>
    <row r="450" spans="1:20" outlineLevel="1" x14ac:dyDescent="0.45">
      <c r="B450" s="129" t="s">
        <v>359</v>
      </c>
      <c r="L450" s="546">
        <f>T450</f>
        <v>-202.77777777777771</v>
      </c>
      <c r="M450" s="546">
        <f t="shared" ref="M450:R450" ca="1" si="464">-AVERAGE(M445,M447)*M449</f>
        <v>-714.31503994857894</v>
      </c>
      <c r="N450" s="546">
        <f t="shared" ca="1" si="464"/>
        <v>-329.88713862430569</v>
      </c>
      <c r="O450" s="546">
        <f t="shared" ca="1" si="464"/>
        <v>-302.21814642666709</v>
      </c>
      <c r="P450" s="546">
        <f t="shared" ca="1" si="464"/>
        <v>-711.08064038282089</v>
      </c>
      <c r="Q450" s="546">
        <f t="shared" ca="1" si="464"/>
        <v>-1149.4345926318806</v>
      </c>
      <c r="R450" s="546">
        <f t="shared" ca="1" si="464"/>
        <v>-1249.9999999999998</v>
      </c>
      <c r="S450" s="546">
        <v>0</v>
      </c>
      <c r="T450" s="546">
        <f>IF('Key Inputs and Drivers'!C7=1, -AVERAGE(T445,T447)*T449*$T$423, 0)</f>
        <v>-202.77777777777771</v>
      </c>
    </row>
    <row r="451" spans="1:20" outlineLevel="1" x14ac:dyDescent="0.45">
      <c r="B451" s="129"/>
    </row>
    <row r="452" spans="1:20" outlineLevel="1" x14ac:dyDescent="0.45">
      <c r="B452" s="130" t="s">
        <v>360</v>
      </c>
      <c r="L452" s="572">
        <f t="shared" ref="L452:R452" ca="1" si="465">MAX(0,SUM(L432,L436))</f>
        <v>159553.15021535993</v>
      </c>
      <c r="M452" s="573">
        <f t="shared" ca="1" si="465"/>
        <v>0</v>
      </c>
      <c r="N452" s="573">
        <f t="shared" ca="1" si="465"/>
        <v>0</v>
      </c>
      <c r="O452" s="573">
        <f t="shared" ca="1" si="465"/>
        <v>0</v>
      </c>
      <c r="P452" s="573">
        <f t="shared" ca="1" si="465"/>
        <v>0</v>
      </c>
      <c r="Q452" s="573">
        <f t="shared" ca="1" si="465"/>
        <v>213420.82954361776</v>
      </c>
      <c r="R452" s="573">
        <f t="shared" ca="1" si="465"/>
        <v>560519.76732564077</v>
      </c>
      <c r="S452" s="573">
        <f t="shared" ref="S452" si="466">MAX(0,SUM(S432,S436,S450))</f>
        <v>0</v>
      </c>
      <c r="T452" s="574">
        <f ca="1">MAX(0,SUM(T432,T436))</f>
        <v>159553.15021535993</v>
      </c>
    </row>
    <row r="453" spans="1:20" outlineLevel="1" x14ac:dyDescent="0.45"/>
    <row r="455" spans="1:20" ht="15" customHeight="1" x14ac:dyDescent="0.45">
      <c r="A455" s="107" t="s">
        <v>18</v>
      </c>
      <c r="B455" s="108" t="s">
        <v>361</v>
      </c>
      <c r="C455" s="109"/>
      <c r="D455" s="109"/>
      <c r="E455" s="109"/>
      <c r="F455" s="109"/>
      <c r="G455" s="109"/>
      <c r="H455" s="109"/>
      <c r="I455" s="109"/>
      <c r="J455" s="109"/>
      <c r="K455" s="109"/>
      <c r="L455" s="109"/>
      <c r="M455" s="109"/>
      <c r="N455" s="109"/>
      <c r="O455" s="109"/>
      <c r="P455" s="109"/>
      <c r="Q455" s="109"/>
      <c r="R455" s="109"/>
      <c r="S455" s="109"/>
      <c r="T455" s="109"/>
    </row>
    <row r="456" spans="1:20" outlineLevel="1" x14ac:dyDescent="0.45">
      <c r="A456" s="111"/>
      <c r="B456" s="616" t="s">
        <v>21</v>
      </c>
      <c r="C456" s="616"/>
      <c r="D456" s="122"/>
      <c r="E456" s="122"/>
      <c r="F456" s="3"/>
      <c r="G456" s="3"/>
      <c r="H456" s="3"/>
      <c r="I456" s="3"/>
      <c r="J456" s="3"/>
      <c r="K456" s="3"/>
      <c r="L456" s="3"/>
      <c r="M456" s="3"/>
      <c r="N456" s="3"/>
      <c r="O456" s="3"/>
      <c r="P456" s="3"/>
      <c r="Q456" s="3"/>
      <c r="R456" s="3"/>
      <c r="S456" s="615" t="s">
        <v>176</v>
      </c>
      <c r="T456" s="615"/>
    </row>
    <row r="457" spans="1:20" ht="14.65" outlineLevel="1" thickBot="1" x14ac:dyDescent="0.5">
      <c r="A457" s="111"/>
      <c r="B457" s="112"/>
      <c r="K457" s="3"/>
      <c r="L457" s="101" t="s">
        <v>117</v>
      </c>
      <c r="M457" s="102">
        <v>2025</v>
      </c>
      <c r="N457" s="102">
        <f>M457+1</f>
        <v>2026</v>
      </c>
      <c r="O457" s="102">
        <f t="shared" ref="O457" si="467">N457+1</f>
        <v>2027</v>
      </c>
      <c r="P457" s="102">
        <f t="shared" ref="P457" si="468">O457+1</f>
        <v>2028</v>
      </c>
      <c r="Q457" s="102">
        <f>P457+1</f>
        <v>2029</v>
      </c>
      <c r="R457" s="102">
        <f>Q457+1</f>
        <v>2030</v>
      </c>
      <c r="S457" s="284">
        <v>45582</v>
      </c>
      <c r="T457" s="284">
        <v>45657</v>
      </c>
    </row>
    <row r="458" spans="1:20" ht="18" outlineLevel="1" x14ac:dyDescent="0.55000000000000004">
      <c r="A458" s="111"/>
      <c r="B458" s="346" t="s">
        <v>362</v>
      </c>
      <c r="K458" s="64" t="s">
        <v>119</v>
      </c>
      <c r="L458" s="350">
        <f>L421</f>
        <v>45657</v>
      </c>
      <c r="M458" s="350">
        <f t="shared" ref="M458:T458" si="469">M421</f>
        <v>46022</v>
      </c>
      <c r="N458" s="350">
        <f t="shared" si="469"/>
        <v>46387</v>
      </c>
      <c r="O458" s="350">
        <f t="shared" si="469"/>
        <v>46752</v>
      </c>
      <c r="P458" s="350">
        <f t="shared" si="469"/>
        <v>47118</v>
      </c>
      <c r="Q458" s="350">
        <f t="shared" si="469"/>
        <v>47483</v>
      </c>
      <c r="R458" s="350">
        <f t="shared" si="469"/>
        <v>47848</v>
      </c>
      <c r="S458" s="350">
        <f t="shared" si="469"/>
        <v>45582</v>
      </c>
      <c r="T458" s="350">
        <f t="shared" si="469"/>
        <v>45657</v>
      </c>
    </row>
    <row r="459" spans="1:20" outlineLevel="1" x14ac:dyDescent="0.45">
      <c r="A459" s="111"/>
      <c r="B459" s="116"/>
      <c r="K459" s="64" t="s">
        <v>120</v>
      </c>
      <c r="L459" s="351">
        <f t="shared" ref="L459:T461" si="470">L422</f>
        <v>365</v>
      </c>
      <c r="M459" s="351">
        <f t="shared" si="470"/>
        <v>365</v>
      </c>
      <c r="N459" s="351">
        <f t="shared" si="470"/>
        <v>365</v>
      </c>
      <c r="O459" s="351">
        <f t="shared" si="470"/>
        <v>365</v>
      </c>
      <c r="P459" s="351">
        <f t="shared" si="470"/>
        <v>365</v>
      </c>
      <c r="Q459" s="351">
        <f t="shared" si="470"/>
        <v>365</v>
      </c>
      <c r="R459" s="351">
        <f t="shared" si="470"/>
        <v>365</v>
      </c>
      <c r="S459" s="351">
        <f t="shared" si="470"/>
        <v>291</v>
      </c>
      <c r="T459" s="351">
        <f t="shared" si="470"/>
        <v>75</v>
      </c>
    </row>
    <row r="460" spans="1:20" outlineLevel="1" x14ac:dyDescent="0.45">
      <c r="A460" s="111"/>
      <c r="B460" s="116"/>
      <c r="K460" s="64" t="s">
        <v>122</v>
      </c>
      <c r="L460" s="591">
        <f t="shared" si="470"/>
        <v>1</v>
      </c>
      <c r="M460" s="591">
        <f t="shared" si="470"/>
        <v>1</v>
      </c>
      <c r="N460" s="591">
        <f t="shared" si="470"/>
        <v>1</v>
      </c>
      <c r="O460" s="591">
        <f t="shared" si="470"/>
        <v>1</v>
      </c>
      <c r="P460" s="591">
        <f t="shared" si="470"/>
        <v>1</v>
      </c>
      <c r="Q460" s="591">
        <f t="shared" si="470"/>
        <v>1</v>
      </c>
      <c r="R460" s="591">
        <f t="shared" si="470"/>
        <v>1</v>
      </c>
      <c r="S460" s="591">
        <f t="shared" si="470"/>
        <v>0.79722222222222228</v>
      </c>
      <c r="T460" s="591">
        <f t="shared" si="470"/>
        <v>0.20277777777777772</v>
      </c>
    </row>
    <row r="461" spans="1:20" outlineLevel="1" x14ac:dyDescent="0.45">
      <c r="A461" s="111"/>
      <c r="B461" s="116"/>
      <c r="K461" s="64" t="s">
        <v>123</v>
      </c>
      <c r="L461" s="350" t="str">
        <f t="shared" si="470"/>
        <v>USD, $000</v>
      </c>
      <c r="M461" s="350" t="str">
        <f t="shared" si="470"/>
        <v>USD, $000</v>
      </c>
      <c r="N461" s="350" t="str">
        <f t="shared" si="470"/>
        <v>USD, $000</v>
      </c>
      <c r="O461" s="350" t="str">
        <f t="shared" si="470"/>
        <v>USD, $000</v>
      </c>
      <c r="P461" s="350" t="str">
        <f t="shared" si="470"/>
        <v>USD, $000</v>
      </c>
      <c r="Q461" s="350" t="str">
        <f t="shared" si="470"/>
        <v>USD, $000</v>
      </c>
      <c r="R461" s="350" t="str">
        <f t="shared" si="470"/>
        <v>USD, $000</v>
      </c>
      <c r="S461" s="350" t="str">
        <f t="shared" si="470"/>
        <v>USD, $000</v>
      </c>
      <c r="T461" s="350" t="str">
        <f t="shared" si="470"/>
        <v>USD, $000</v>
      </c>
    </row>
    <row r="462" spans="1:20" outlineLevel="1" x14ac:dyDescent="0.45"/>
    <row r="463" spans="1:20" outlineLevel="1" x14ac:dyDescent="0.45">
      <c r="B463" s="114" t="s">
        <v>1438</v>
      </c>
      <c r="L463" s="483">
        <f t="shared" ref="L463:T463" ca="1" si="471">IF(L32&gt;0,((SUM(L64,L67,L68,L76,L78,L77)-SUM(L45,L49))/L32),"-")</f>
        <v>20.333071568279067</v>
      </c>
      <c r="M463" s="484">
        <f t="shared" ca="1" si="471"/>
        <v>13.915299983445465</v>
      </c>
      <c r="N463" s="484">
        <f t="shared" ca="1" si="471"/>
        <v>11.013673196479596</v>
      </c>
      <c r="O463" s="484">
        <f t="shared" ca="1" si="471"/>
        <v>8.6753570675069493</v>
      </c>
      <c r="P463" s="484">
        <f t="shared" ca="1" si="471"/>
        <v>6.2193483631517053</v>
      </c>
      <c r="Q463" s="484">
        <f t="shared" ca="1" si="471"/>
        <v>4.3843806366870286</v>
      </c>
      <c r="R463" s="484">
        <f t="shared" ca="1" si="471"/>
        <v>2.5719104342334704</v>
      </c>
      <c r="S463" s="484">
        <f t="shared" ca="1" si="471"/>
        <v>2.6980871360676737</v>
      </c>
      <c r="T463" s="485">
        <f t="shared" ca="1" si="471"/>
        <v>100.27268170658179</v>
      </c>
    </row>
    <row r="464" spans="1:20" outlineLevel="1" x14ac:dyDescent="0.45"/>
    <row r="465" spans="2:20" outlineLevel="1" x14ac:dyDescent="0.45">
      <c r="B465" s="114" t="s">
        <v>363</v>
      </c>
      <c r="G465" s="131" t="s">
        <v>1442</v>
      </c>
      <c r="I465" s="131" t="s">
        <v>1443</v>
      </c>
      <c r="K465" s="125" t="s">
        <v>107</v>
      </c>
      <c r="L465" s="356">
        <f>T465</f>
        <v>0</v>
      </c>
      <c r="M465" s="529">
        <v>0.75</v>
      </c>
      <c r="N465" s="529">
        <v>1</v>
      </c>
      <c r="O465" s="529">
        <v>1</v>
      </c>
      <c r="P465" s="529">
        <v>1</v>
      </c>
      <c r="Q465" s="529">
        <v>1</v>
      </c>
      <c r="R465" s="529">
        <v>1</v>
      </c>
      <c r="S465" s="358">
        <v>0</v>
      </c>
      <c r="T465" s="530">
        <f>'Transaction Details'!R42</f>
        <v>0</v>
      </c>
    </row>
    <row r="466" spans="2:20" outlineLevel="1" x14ac:dyDescent="0.45">
      <c r="B466" s="190" t="s">
        <v>364</v>
      </c>
      <c r="G466" s="537">
        <v>7.25</v>
      </c>
      <c r="H466" s="540"/>
      <c r="I466" s="537">
        <v>6.75</v>
      </c>
      <c r="L466" s="348">
        <f t="shared" ref="L466:L470" si="472">T466</f>
        <v>0.01</v>
      </c>
      <c r="M466" s="531">
        <f>'Transaction Details'!$O$49</f>
        <v>0.01</v>
      </c>
      <c r="N466" s="531">
        <f>'Transaction Details'!$O$49</f>
        <v>0.01</v>
      </c>
      <c r="O466" s="531">
        <f>'Transaction Details'!$O$49</f>
        <v>0.01</v>
      </c>
      <c r="P466" s="531">
        <f>'Transaction Details'!$O$49</f>
        <v>0.01</v>
      </c>
      <c r="Q466" s="531">
        <f>'Transaction Details'!$O$49</f>
        <v>0.01</v>
      </c>
      <c r="R466" s="531">
        <f>'Transaction Details'!$O$49</f>
        <v>0.01</v>
      </c>
      <c r="S466" s="359">
        <v>0</v>
      </c>
      <c r="T466" s="532">
        <f>'Transaction Details'!$O$49</f>
        <v>0.01</v>
      </c>
    </row>
    <row r="467" spans="2:20" outlineLevel="1" x14ac:dyDescent="0.45">
      <c r="B467" s="190" t="s">
        <v>360</v>
      </c>
      <c r="L467" s="583">
        <f t="shared" ca="1" si="472"/>
        <v>159553.15021535993</v>
      </c>
      <c r="M467" s="546">
        <f t="shared" ref="M467:R467" ca="1" si="473">M452</f>
        <v>0</v>
      </c>
      <c r="N467" s="546">
        <f t="shared" ca="1" si="473"/>
        <v>0</v>
      </c>
      <c r="O467" s="546">
        <f t="shared" ca="1" si="473"/>
        <v>0</v>
      </c>
      <c r="P467" s="546">
        <f t="shared" ca="1" si="473"/>
        <v>0</v>
      </c>
      <c r="Q467" s="546">
        <f t="shared" ca="1" si="473"/>
        <v>213420.82954361776</v>
      </c>
      <c r="R467" s="546">
        <f t="shared" ca="1" si="473"/>
        <v>560519.76732564077</v>
      </c>
      <c r="S467" s="546">
        <v>0</v>
      </c>
      <c r="T467" s="563">
        <f ca="1">L452</f>
        <v>159553.15021535993</v>
      </c>
    </row>
    <row r="468" spans="2:20" outlineLevel="1" x14ac:dyDescent="0.45">
      <c r="B468" s="190" t="s">
        <v>365</v>
      </c>
      <c r="L468" s="357">
        <f t="shared" ca="1" si="472"/>
        <v>1</v>
      </c>
      <c r="M468" s="192">
        <f t="shared" ref="M468:R468" ca="1" si="474">IF(M467&gt;0,1,0)</f>
        <v>0</v>
      </c>
      <c r="N468" s="192">
        <f t="shared" ca="1" si="474"/>
        <v>0</v>
      </c>
      <c r="O468" s="192">
        <f t="shared" ca="1" si="474"/>
        <v>0</v>
      </c>
      <c r="P468" s="192">
        <f t="shared" ca="1" si="474"/>
        <v>0</v>
      </c>
      <c r="Q468" s="192">
        <f t="shared" ca="1" si="474"/>
        <v>1</v>
      </c>
      <c r="R468" s="192">
        <f t="shared" ca="1" si="474"/>
        <v>1</v>
      </c>
      <c r="S468" s="359">
        <v>0</v>
      </c>
      <c r="T468" s="194">
        <f ca="1">IF(T467&gt;0,1,0)</f>
        <v>1</v>
      </c>
    </row>
    <row r="469" spans="2:20" outlineLevel="1" x14ac:dyDescent="0.45">
      <c r="B469" s="190" t="s">
        <v>366</v>
      </c>
      <c r="G469" s="203"/>
      <c r="L469" s="348">
        <f ca="1">T469</f>
        <v>0.5</v>
      </c>
      <c r="M469" s="355">
        <f t="shared" ref="M469:R469" ca="1" si="475">IF(M463&lt;$G$466, (IF(M463&lt;$I$466, 0%, 25%)), 50%)</f>
        <v>0.5</v>
      </c>
      <c r="N469" s="355">
        <f t="shared" ca="1" si="475"/>
        <v>0.5</v>
      </c>
      <c r="O469" s="355">
        <f t="shared" ca="1" si="475"/>
        <v>0.5</v>
      </c>
      <c r="P469" s="355">
        <f t="shared" ca="1" si="475"/>
        <v>0</v>
      </c>
      <c r="Q469" s="355">
        <f t="shared" ca="1" si="475"/>
        <v>0</v>
      </c>
      <c r="R469" s="355">
        <f t="shared" ca="1" si="475"/>
        <v>0</v>
      </c>
      <c r="S469" s="359">
        <v>0</v>
      </c>
      <c r="T469" s="349">
        <f ca="1">IF(L463&lt;$G$466, (IF(L463&lt;$I$466, 0%, 25%)), 50%)</f>
        <v>0.5</v>
      </c>
    </row>
    <row r="470" spans="2:20" outlineLevel="1" x14ac:dyDescent="0.45">
      <c r="B470" s="114" t="s">
        <v>367</v>
      </c>
      <c r="L470" s="584">
        <f t="shared" ca="1" si="472"/>
        <v>79776.575107679964</v>
      </c>
      <c r="M470" s="552">
        <f t="shared" ref="M470:R470" ca="1" si="476">M467*M468*M469</f>
        <v>0</v>
      </c>
      <c r="N470" s="552">
        <f t="shared" ca="1" si="476"/>
        <v>0</v>
      </c>
      <c r="O470" s="552">
        <f t="shared" ca="1" si="476"/>
        <v>0</v>
      </c>
      <c r="P470" s="552">
        <f t="shared" ca="1" si="476"/>
        <v>0</v>
      </c>
      <c r="Q470" s="552">
        <f t="shared" ca="1" si="476"/>
        <v>0</v>
      </c>
      <c r="R470" s="552">
        <f t="shared" ca="1" si="476"/>
        <v>0</v>
      </c>
      <c r="S470" s="552">
        <v>0</v>
      </c>
      <c r="T470" s="566">
        <f ca="1">T467*T468*T469</f>
        <v>79776.575107679964</v>
      </c>
    </row>
    <row r="471" spans="2:20" outlineLevel="1" x14ac:dyDescent="0.45">
      <c r="B471" s="129"/>
      <c r="T471" s="128"/>
    </row>
    <row r="472" spans="2:20" outlineLevel="1" x14ac:dyDescent="0.45">
      <c r="B472" s="130" t="s">
        <v>368</v>
      </c>
      <c r="C472" s="125"/>
      <c r="D472" s="125"/>
      <c r="E472" s="125"/>
      <c r="F472" s="125"/>
      <c r="L472" s="546">
        <f>T472</f>
        <v>2300000</v>
      </c>
      <c r="M472" s="546">
        <f ca="1">T519</f>
        <v>2300000</v>
      </c>
      <c r="N472" s="546">
        <f t="shared" ref="N472:R472" ca="1" si="477">M519</f>
        <v>2282750</v>
      </c>
      <c r="O472" s="546">
        <f t="shared" ca="1" si="477"/>
        <v>2259750</v>
      </c>
      <c r="P472" s="546">
        <f t="shared" ca="1" si="477"/>
        <v>2236750</v>
      </c>
      <c r="Q472" s="546">
        <f t="shared" ca="1" si="477"/>
        <v>2213750</v>
      </c>
      <c r="R472" s="546">
        <f t="shared" ca="1" si="477"/>
        <v>2097406.4561060695</v>
      </c>
      <c r="S472" s="359">
        <v>0</v>
      </c>
      <c r="T472" s="558">
        <f>'Transaction Details'!E49</f>
        <v>2300000</v>
      </c>
    </row>
    <row r="473" spans="2:20" outlineLevel="1" x14ac:dyDescent="0.45">
      <c r="B473" s="190" t="s">
        <v>369</v>
      </c>
      <c r="L473" s="546">
        <f t="shared" ref="L473:L474" si="478">T473</f>
        <v>0</v>
      </c>
      <c r="M473" s="546">
        <f t="shared" ref="M473:R473" si="479">$T$472*M466*M465*-1</f>
        <v>-17250</v>
      </c>
      <c r="N473" s="546">
        <f t="shared" si="479"/>
        <v>-23000</v>
      </c>
      <c r="O473" s="546">
        <f t="shared" si="479"/>
        <v>-23000</v>
      </c>
      <c r="P473" s="546">
        <f t="shared" si="479"/>
        <v>-23000</v>
      </c>
      <c r="Q473" s="546">
        <f t="shared" si="479"/>
        <v>-23000</v>
      </c>
      <c r="R473" s="546">
        <f t="shared" si="479"/>
        <v>-23000</v>
      </c>
      <c r="S473" s="546">
        <v>0</v>
      </c>
      <c r="T473" s="546">
        <f>$T$472*T466*T465*-1</f>
        <v>0</v>
      </c>
    </row>
    <row r="474" spans="2:20" outlineLevel="1" x14ac:dyDescent="0.45">
      <c r="B474" s="190" t="s">
        <v>370</v>
      </c>
      <c r="L474" s="552">
        <f t="shared" ca="1" si="478"/>
        <v>0</v>
      </c>
      <c r="M474" s="552">
        <f t="shared" ref="M474:R474" ca="1" si="480">-MIN(M470*M$465,SUM(M472:M473))</f>
        <v>0</v>
      </c>
      <c r="N474" s="552">
        <f t="shared" ca="1" si="480"/>
        <v>0</v>
      </c>
      <c r="O474" s="552">
        <f t="shared" ca="1" si="480"/>
        <v>0</v>
      </c>
      <c r="P474" s="552">
        <f t="shared" ca="1" si="480"/>
        <v>0</v>
      </c>
      <c r="Q474" s="552">
        <f t="shared" ca="1" si="480"/>
        <v>0</v>
      </c>
      <c r="R474" s="552">
        <f t="shared" ca="1" si="480"/>
        <v>0</v>
      </c>
      <c r="S474" s="552">
        <v>0</v>
      </c>
      <c r="T474" s="552">
        <f ca="1">-MIN(T470*T$465,SUM(T472:T473))*$T$460</f>
        <v>0</v>
      </c>
    </row>
    <row r="475" spans="2:20" outlineLevel="1" x14ac:dyDescent="0.45">
      <c r="B475" s="130" t="s">
        <v>371</v>
      </c>
      <c r="C475" s="125"/>
      <c r="D475" s="125"/>
      <c r="E475" s="125"/>
      <c r="F475" s="125"/>
      <c r="L475" s="546">
        <f ca="1">SUM(L472:L474)</f>
        <v>2300000</v>
      </c>
      <c r="M475" s="546">
        <f t="shared" ref="M475:R475" ca="1" si="481">(IF(SUM(M472:M474)&gt;0,SUM(M472:M474),0))</f>
        <v>2282750</v>
      </c>
      <c r="N475" s="546">
        <f t="shared" ca="1" si="481"/>
        <v>2259750</v>
      </c>
      <c r="O475" s="546">
        <f t="shared" ca="1" si="481"/>
        <v>2236750</v>
      </c>
      <c r="P475" s="546">
        <f t="shared" ca="1" si="481"/>
        <v>2213750</v>
      </c>
      <c r="Q475" s="546">
        <f t="shared" ca="1" si="481"/>
        <v>2190750</v>
      </c>
      <c r="R475" s="546">
        <f t="shared" ca="1" si="481"/>
        <v>2074406.4561060695</v>
      </c>
      <c r="S475" s="546">
        <f t="shared" ref="S475" si="482">(IF(SUM(S472:S474)&gt;0,SUM(S472:S474),0))</f>
        <v>0</v>
      </c>
      <c r="T475" s="546">
        <f ca="1">(IF(SUM(T472:T474)&gt;0,SUM(T472:T474),0))</f>
        <v>2300000</v>
      </c>
    </row>
    <row r="476" spans="2:20" outlineLevel="1" x14ac:dyDescent="0.45">
      <c r="B476" s="129"/>
      <c r="T476" s="128"/>
    </row>
    <row r="477" spans="2:20" outlineLevel="1" x14ac:dyDescent="0.45">
      <c r="B477" s="129" t="s">
        <v>174</v>
      </c>
      <c r="L477" s="526">
        <f ca="1">T477</f>
        <v>0.10300000000000001</v>
      </c>
      <c r="M477" s="527">
        <f ca="1">'Key Inputs and Drivers'!M103</f>
        <v>0.10031666666666667</v>
      </c>
      <c r="N477" s="527">
        <f ca="1">'Key Inputs and Drivers'!N103</f>
        <v>9.7633333333333336E-2</v>
      </c>
      <c r="O477" s="527">
        <f ca="1">'Key Inputs and Drivers'!O103</f>
        <v>9.4950000000000007E-2</v>
      </c>
      <c r="P477" s="527">
        <f ca="1">'Key Inputs and Drivers'!P103</f>
        <v>9.2266666666666677E-2</v>
      </c>
      <c r="Q477" s="527">
        <f ca="1">'Key Inputs and Drivers'!Q103</f>
        <v>8.7083333333333346E-2</v>
      </c>
      <c r="R477" s="527">
        <f ca="1">'Key Inputs and Drivers'!R103</f>
        <v>8.4400000000000003E-2</v>
      </c>
      <c r="S477" s="134">
        <f>IF('Key Inputs and Drivers'!$C$7 = 1, AVERAGE(S471,S474)*S476*-1, 0)</f>
        <v>0</v>
      </c>
      <c r="T477" s="527">
        <f ca="1">'Key Inputs and Drivers'!L103</f>
        <v>0.10300000000000001</v>
      </c>
    </row>
    <row r="478" spans="2:20" outlineLevel="1" x14ac:dyDescent="0.45">
      <c r="B478" s="129" t="s">
        <v>186</v>
      </c>
      <c r="L478" s="546">
        <f ca="1">T478</f>
        <v>-48038.055555555547</v>
      </c>
      <c r="M478" s="546">
        <f ca="1">IF('Key Inputs and Drivers'!$C$7=1, M477*AVERAGE(M472,M475)*-1, 0)</f>
        <v>-229863.10208333333</v>
      </c>
      <c r="N478" s="546">
        <f ca="1">IF('Key Inputs and Drivers'!$C$7=1, N477*AVERAGE(N472,N475)*-1, 0)</f>
        <v>-221749.70833333334</v>
      </c>
      <c r="O478" s="546">
        <f ca="1">IF('Key Inputs and Drivers'!$C$7=1, O477*AVERAGE(O472,O475)*-1, 0)</f>
        <v>-213471.33750000002</v>
      </c>
      <c r="P478" s="546">
        <f ca="1">IF('Key Inputs and Drivers'!$C$7=1, P477*AVERAGE(P472,P475)*-1, 0)</f>
        <v>-205316.40000000002</v>
      </c>
      <c r="Q478" s="546">
        <f ca="1">IF('Key Inputs and Drivers'!$C$7=1, Q477*AVERAGE(Q472,Q475)*-1, 0)</f>
        <v>-191779.27083333337</v>
      </c>
      <c r="R478" s="546">
        <f ca="1">IF('Key Inputs and Drivers'!$C$7=1, R477*AVERAGE(R472,R475)*-1, 0)</f>
        <v>-176050.50489535226</v>
      </c>
      <c r="S478" s="546">
        <v>0</v>
      </c>
      <c r="T478" s="546">
        <f ca="1">IF('Key Inputs and Drivers'!$C$7 = 1,T477*AVERAGE(T472,T475)*-1*$T$460, 0)</f>
        <v>-48038.055555555547</v>
      </c>
    </row>
    <row r="479" spans="2:20" outlineLevel="1" x14ac:dyDescent="0.45">
      <c r="B479" s="129"/>
      <c r="T479" s="128"/>
    </row>
    <row r="480" spans="2:20" outlineLevel="1" x14ac:dyDescent="0.45">
      <c r="B480" s="114" t="s">
        <v>372</v>
      </c>
      <c r="K480" s="125" t="s">
        <v>107</v>
      </c>
      <c r="L480" s="356">
        <f>T480</f>
        <v>0</v>
      </c>
      <c r="M480" s="529">
        <v>0.75</v>
      </c>
      <c r="N480" s="529">
        <v>1</v>
      </c>
      <c r="O480" s="529">
        <v>1</v>
      </c>
      <c r="P480" s="529">
        <v>1</v>
      </c>
      <c r="Q480" s="529">
        <v>1</v>
      </c>
      <c r="R480" s="529">
        <v>1</v>
      </c>
      <c r="S480" s="358">
        <v>0</v>
      </c>
      <c r="T480" s="530">
        <f>'Transaction Details'!R56</f>
        <v>0</v>
      </c>
    </row>
    <row r="481" spans="2:20" outlineLevel="1" x14ac:dyDescent="0.45">
      <c r="B481" s="190" t="s">
        <v>364</v>
      </c>
      <c r="G481" s="131" t="s">
        <v>1442</v>
      </c>
      <c r="I481" s="131" t="s">
        <v>1443</v>
      </c>
      <c r="L481" s="348">
        <f t="shared" ref="L481:L485" si="483">T481</f>
        <v>0.01</v>
      </c>
      <c r="M481" s="531">
        <f>'Transaction Details'!$O$50</f>
        <v>0.01</v>
      </c>
      <c r="N481" s="531">
        <f>'Transaction Details'!$O$50</f>
        <v>0.01</v>
      </c>
      <c r="O481" s="531">
        <f>'Transaction Details'!$O$50</f>
        <v>0.01</v>
      </c>
      <c r="P481" s="531">
        <f>'Transaction Details'!$O$50</f>
        <v>0.01</v>
      </c>
      <c r="Q481" s="531">
        <f>'Transaction Details'!$O$50</f>
        <v>0.01</v>
      </c>
      <c r="R481" s="531">
        <f>'Transaction Details'!$O$50</f>
        <v>0.01</v>
      </c>
      <c r="S481" s="359">
        <v>0</v>
      </c>
      <c r="T481" s="532">
        <f>'Transaction Details'!$O$50</f>
        <v>0.01</v>
      </c>
    </row>
    <row r="482" spans="2:20" outlineLevel="1" x14ac:dyDescent="0.45">
      <c r="B482" s="190" t="s">
        <v>373</v>
      </c>
      <c r="G482" s="537">
        <v>7.25</v>
      </c>
      <c r="H482" s="541"/>
      <c r="I482" s="537">
        <v>6.75</v>
      </c>
      <c r="L482" s="583">
        <f t="shared" ca="1" si="483"/>
        <v>159553.15021535993</v>
      </c>
      <c r="M482" s="546">
        <f ca="1">M467+M474+M473</f>
        <v>-17250</v>
      </c>
      <c r="N482" s="546">
        <f t="shared" ref="N482:R482" ca="1" si="484">N467+N474+N473</f>
        <v>-23000</v>
      </c>
      <c r="O482" s="546">
        <f t="shared" ca="1" si="484"/>
        <v>-23000</v>
      </c>
      <c r="P482" s="546">
        <f t="shared" ca="1" si="484"/>
        <v>-23000</v>
      </c>
      <c r="Q482" s="546">
        <f t="shared" ca="1" si="484"/>
        <v>190420.82954361776</v>
      </c>
      <c r="R482" s="546">
        <f t="shared" ca="1" si="484"/>
        <v>537519.76732564077</v>
      </c>
      <c r="S482" s="546">
        <v>0</v>
      </c>
      <c r="T482" s="563">
        <f ca="1">T467+T474+T473</f>
        <v>159553.15021535993</v>
      </c>
    </row>
    <row r="483" spans="2:20" outlineLevel="1" x14ac:dyDescent="0.45">
      <c r="B483" s="190" t="s">
        <v>374</v>
      </c>
      <c r="H483" s="197"/>
      <c r="L483" s="357">
        <f t="shared" ca="1" si="483"/>
        <v>1</v>
      </c>
      <c r="M483" s="199">
        <f t="shared" ref="M483:R483" ca="1" si="485">IF(M482&gt;0,1,0)</f>
        <v>0</v>
      </c>
      <c r="N483" s="199">
        <f t="shared" ca="1" si="485"/>
        <v>0</v>
      </c>
      <c r="O483" s="199">
        <f t="shared" ca="1" si="485"/>
        <v>0</v>
      </c>
      <c r="P483" s="199">
        <f t="shared" ca="1" si="485"/>
        <v>0</v>
      </c>
      <c r="Q483" s="199">
        <f t="shared" ca="1" si="485"/>
        <v>1</v>
      </c>
      <c r="R483" s="192">
        <f t="shared" ca="1" si="485"/>
        <v>1</v>
      </c>
      <c r="S483" s="359">
        <v>0</v>
      </c>
      <c r="T483" s="194">
        <f ca="1">IF(T482&gt;0,1,0)</f>
        <v>1</v>
      </c>
    </row>
    <row r="484" spans="2:20" outlineLevel="1" x14ac:dyDescent="0.45">
      <c r="B484" s="190" t="s">
        <v>366</v>
      </c>
      <c r="L484" s="348">
        <f t="shared" ca="1" si="483"/>
        <v>0.5</v>
      </c>
      <c r="M484" s="355">
        <f t="shared" ref="M484:R484" ca="1" si="486">IF(M463&lt;$G$482, (IF(M463&lt;$I$482, 0%, 25%)), 50%)</f>
        <v>0.5</v>
      </c>
      <c r="N484" s="355">
        <f t="shared" ca="1" si="486"/>
        <v>0.5</v>
      </c>
      <c r="O484" s="355">
        <f t="shared" ca="1" si="486"/>
        <v>0.5</v>
      </c>
      <c r="P484" s="355">
        <f t="shared" ca="1" si="486"/>
        <v>0</v>
      </c>
      <c r="Q484" s="355">
        <f t="shared" ca="1" si="486"/>
        <v>0</v>
      </c>
      <c r="R484" s="585">
        <f t="shared" ca="1" si="486"/>
        <v>0</v>
      </c>
      <c r="S484" s="359">
        <v>0</v>
      </c>
      <c r="T484" s="349">
        <f ca="1">IF(L463&lt;$G$482, (IF(L463&lt;$I$482, 0%, 25%)), 50%)</f>
        <v>0.5</v>
      </c>
    </row>
    <row r="485" spans="2:20" outlineLevel="1" x14ac:dyDescent="0.45">
      <c r="B485" s="114" t="s">
        <v>375</v>
      </c>
      <c r="L485" s="584">
        <f t="shared" ca="1" si="483"/>
        <v>79776.575107679964</v>
      </c>
      <c r="M485" s="552">
        <f t="shared" ref="M485:R485" ca="1" si="487">M484*M483*M482</f>
        <v>0</v>
      </c>
      <c r="N485" s="552">
        <f t="shared" ca="1" si="487"/>
        <v>0</v>
      </c>
      <c r="O485" s="552">
        <f t="shared" ca="1" si="487"/>
        <v>0</v>
      </c>
      <c r="P485" s="552">
        <f t="shared" ca="1" si="487"/>
        <v>0</v>
      </c>
      <c r="Q485" s="552">
        <f t="shared" ca="1" si="487"/>
        <v>0</v>
      </c>
      <c r="R485" s="552">
        <f t="shared" ca="1" si="487"/>
        <v>0</v>
      </c>
      <c r="S485" s="552">
        <v>0</v>
      </c>
      <c r="T485" s="566">
        <f ca="1">T484*T483*T482</f>
        <v>79776.575107679964</v>
      </c>
    </row>
    <row r="486" spans="2:20" outlineLevel="1" x14ac:dyDescent="0.45">
      <c r="B486" s="129"/>
      <c r="T486" s="128"/>
    </row>
    <row r="487" spans="2:20" outlineLevel="1" x14ac:dyDescent="0.45">
      <c r="B487" s="130" t="s">
        <v>368</v>
      </c>
      <c r="C487" s="125"/>
      <c r="D487" s="125"/>
      <c r="E487" s="125"/>
      <c r="F487" s="125"/>
      <c r="L487" s="546">
        <f>T487</f>
        <v>300000</v>
      </c>
      <c r="M487" s="546">
        <f ca="1">T533</f>
        <v>300000</v>
      </c>
      <c r="N487" s="546">
        <f t="shared" ref="N487:R487" ca="1" si="488">M533</f>
        <v>297750</v>
      </c>
      <c r="O487" s="546">
        <f t="shared" ca="1" si="488"/>
        <v>294750</v>
      </c>
      <c r="P487" s="546">
        <f t="shared" ca="1" si="488"/>
        <v>291750</v>
      </c>
      <c r="Q487" s="546">
        <f t="shared" ca="1" si="488"/>
        <v>288750</v>
      </c>
      <c r="R487" s="546">
        <f t="shared" ca="1" si="488"/>
        <v>285750</v>
      </c>
      <c r="S487" s="359">
        <v>0</v>
      </c>
      <c r="T487" s="558">
        <f>'Transaction Details'!E50</f>
        <v>300000</v>
      </c>
    </row>
    <row r="488" spans="2:20" outlineLevel="1" x14ac:dyDescent="0.45">
      <c r="B488" s="190" t="s">
        <v>369</v>
      </c>
      <c r="L488" s="546">
        <f t="shared" ref="L488:L489" si="489">T488</f>
        <v>0</v>
      </c>
      <c r="M488" s="546">
        <f t="shared" ref="M488:R488" si="490">$T$487*M481*M480*-1</f>
        <v>-2250</v>
      </c>
      <c r="N488" s="546">
        <f t="shared" si="490"/>
        <v>-3000</v>
      </c>
      <c r="O488" s="546">
        <f t="shared" si="490"/>
        <v>-3000</v>
      </c>
      <c r="P488" s="546">
        <f t="shared" si="490"/>
        <v>-3000</v>
      </c>
      <c r="Q488" s="546">
        <f t="shared" si="490"/>
        <v>-3000</v>
      </c>
      <c r="R488" s="546">
        <f t="shared" si="490"/>
        <v>-3000</v>
      </c>
      <c r="S488" s="546">
        <v>0</v>
      </c>
      <c r="T488" s="546">
        <f>T487*T481*T480*-1</f>
        <v>0</v>
      </c>
    </row>
    <row r="489" spans="2:20" outlineLevel="1" x14ac:dyDescent="0.45">
      <c r="B489" s="190" t="s">
        <v>370</v>
      </c>
      <c r="L489" s="552">
        <f t="shared" ca="1" si="489"/>
        <v>0</v>
      </c>
      <c r="M489" s="552">
        <f ca="1">-MIN(M485*M$480,SUM(M487:M488))</f>
        <v>0</v>
      </c>
      <c r="N489" s="552">
        <f t="shared" ref="N489:R489" ca="1" si="491">-MIN(N485*N$480,SUM(N487:N488))</f>
        <v>0</v>
      </c>
      <c r="O489" s="552">
        <f t="shared" ca="1" si="491"/>
        <v>0</v>
      </c>
      <c r="P489" s="552">
        <f t="shared" ca="1" si="491"/>
        <v>0</v>
      </c>
      <c r="Q489" s="552">
        <f t="shared" ca="1" si="491"/>
        <v>0</v>
      </c>
      <c r="R489" s="552">
        <f t="shared" ca="1" si="491"/>
        <v>0</v>
      </c>
      <c r="S489" s="552">
        <v>0</v>
      </c>
      <c r="T489" s="552">
        <f ca="1">-MIN(T485*T$480,SUM(T487:T488))*$T$460</f>
        <v>0</v>
      </c>
    </row>
    <row r="490" spans="2:20" outlineLevel="1" x14ac:dyDescent="0.45">
      <c r="B490" s="130" t="s">
        <v>371</v>
      </c>
      <c r="C490" s="125"/>
      <c r="D490" s="125"/>
      <c r="E490" s="125"/>
      <c r="F490" s="125"/>
      <c r="G490" s="125"/>
      <c r="H490" s="125"/>
      <c r="L490" s="546">
        <f ca="1">SUM(L487:L489)</f>
        <v>300000</v>
      </c>
      <c r="M490" s="546">
        <f t="shared" ref="M490:R490" ca="1" si="492">SUM(M487:M489)</f>
        <v>297750</v>
      </c>
      <c r="N490" s="546">
        <f t="shared" ca="1" si="492"/>
        <v>294750</v>
      </c>
      <c r="O490" s="546">
        <f t="shared" ca="1" si="492"/>
        <v>291750</v>
      </c>
      <c r="P490" s="546">
        <f t="shared" ca="1" si="492"/>
        <v>288750</v>
      </c>
      <c r="Q490" s="546">
        <f t="shared" ca="1" si="492"/>
        <v>285750</v>
      </c>
      <c r="R490" s="546">
        <f t="shared" ca="1" si="492"/>
        <v>282750</v>
      </c>
      <c r="S490" s="546">
        <f t="shared" ref="S490" si="493">SUM(S487:S489)</f>
        <v>0</v>
      </c>
      <c r="T490" s="546">
        <f ca="1">SUM(T487:T489)</f>
        <v>300000</v>
      </c>
    </row>
    <row r="491" spans="2:20" outlineLevel="1" x14ac:dyDescent="0.45">
      <c r="B491" s="129"/>
      <c r="T491" s="128"/>
    </row>
    <row r="492" spans="2:20" outlineLevel="1" x14ac:dyDescent="0.45">
      <c r="B492" s="129" t="s">
        <v>174</v>
      </c>
      <c r="L492" s="586">
        <f ca="1">T492</f>
        <v>0.10300000000000001</v>
      </c>
      <c r="M492" s="527">
        <f ca="1">'Key Inputs and Drivers'!M107</f>
        <v>0.10031666666666667</v>
      </c>
      <c r="N492" s="527">
        <f ca="1">'Key Inputs and Drivers'!N107</f>
        <v>9.7633333333333336E-2</v>
      </c>
      <c r="O492" s="527">
        <f ca="1">'Key Inputs and Drivers'!O107</f>
        <v>9.4950000000000007E-2</v>
      </c>
      <c r="P492" s="527">
        <f ca="1">'Key Inputs and Drivers'!P107</f>
        <v>9.2266666666666677E-2</v>
      </c>
      <c r="Q492" s="527">
        <f ca="1">'Key Inputs and Drivers'!Q107</f>
        <v>8.7083333333333346E-2</v>
      </c>
      <c r="R492" s="527">
        <f ca="1">'Key Inputs and Drivers'!R107</f>
        <v>8.4400000000000003E-2</v>
      </c>
      <c r="S492" s="213">
        <f>IF('Key Inputs and Drivers'!$C$7 = 1, AVERAGE(S486,S489)*S491*-1, 0)</f>
        <v>0</v>
      </c>
      <c r="T492" s="531">
        <f ca="1">'Key Inputs and Drivers'!L107</f>
        <v>0.10300000000000001</v>
      </c>
    </row>
    <row r="493" spans="2:20" outlineLevel="1" x14ac:dyDescent="0.45">
      <c r="B493" s="130" t="s">
        <v>186</v>
      </c>
      <c r="C493" s="125"/>
      <c r="D493" s="125"/>
      <c r="E493" s="125"/>
      <c r="F493" s="125"/>
      <c r="G493" s="125"/>
      <c r="L493" s="134">
        <f ca="1">T493</f>
        <v>-6265.8333333333321</v>
      </c>
      <c r="M493" s="134">
        <f ca="1">IF('Key Inputs and Drivers'!$C$7 = 1, AVERAGE(M487,M490)*M492*-1, 0)</f>
        <v>-29982.143749999999</v>
      </c>
      <c r="N493" s="134">
        <f ca="1">IF('Key Inputs and Drivers'!$C$7 = 1, AVERAGE(N487,N490)*N492*-1, 0)</f>
        <v>-28923.875</v>
      </c>
      <c r="O493" s="134">
        <f ca="1">IF('Key Inputs and Drivers'!$C$7 = 1, AVERAGE(O487,O490)*O492*-1, 0)</f>
        <v>-27844.087500000001</v>
      </c>
      <c r="P493" s="134">
        <f ca="1">IF('Key Inputs and Drivers'!$C$7 = 1, AVERAGE(P487,P490)*P492*-1, 0)</f>
        <v>-26780.400000000001</v>
      </c>
      <c r="Q493" s="134">
        <f ca="1">IF('Key Inputs and Drivers'!$C$7 = 1, AVERAGE(Q487,Q490)*Q492*-1, 0)</f>
        <v>-25014.687500000004</v>
      </c>
      <c r="R493" s="134">
        <f ca="1">IF('Key Inputs and Drivers'!$C$7 = 1, AVERAGE(R487,R490)*R492*-1, 0)</f>
        <v>-23990.7</v>
      </c>
      <c r="S493" s="134">
        <f>IF('Key Inputs and Drivers'!$C$7 = 1, AVERAGE(S487,S490)*S492*-1, 0)</f>
        <v>0</v>
      </c>
      <c r="T493" s="134">
        <f ca="1">IF('Key Inputs and Drivers'!$C$7 = 1, AVERAGE(T487,T490)*T492*-1, 0) *$T$460</f>
        <v>-6265.8333333333321</v>
      </c>
    </row>
    <row r="494" spans="2:20" outlineLevel="1" x14ac:dyDescent="0.45">
      <c r="B494" s="130"/>
      <c r="C494" s="125"/>
      <c r="D494" s="125"/>
      <c r="E494" s="125"/>
      <c r="F494" s="125"/>
      <c r="G494" s="125"/>
      <c r="M494" s="127"/>
      <c r="N494" s="127"/>
      <c r="O494" s="127"/>
      <c r="P494" s="127"/>
      <c r="Q494" s="127"/>
      <c r="R494" s="127"/>
      <c r="S494" s="127"/>
      <c r="T494" s="127"/>
    </row>
    <row r="495" spans="2:20" outlineLevel="1" x14ac:dyDescent="0.45">
      <c r="B495" s="130" t="s">
        <v>376</v>
      </c>
      <c r="C495" s="125"/>
      <c r="D495" s="125"/>
      <c r="E495" s="125"/>
      <c r="F495" s="125"/>
      <c r="G495" s="131" t="s">
        <v>350</v>
      </c>
      <c r="M495" s="127"/>
      <c r="N495" s="127"/>
      <c r="O495" s="127"/>
      <c r="P495" s="127"/>
      <c r="Q495" s="127"/>
      <c r="R495" s="127"/>
      <c r="S495" s="127"/>
      <c r="T495" s="127"/>
    </row>
    <row r="496" spans="2:20" outlineLevel="1" x14ac:dyDescent="0.45">
      <c r="B496" s="129" t="s">
        <v>351</v>
      </c>
      <c r="C496" s="125"/>
      <c r="D496" s="125"/>
      <c r="E496" s="125"/>
      <c r="F496" s="125"/>
      <c r="G496" s="525">
        <v>300000</v>
      </c>
      <c r="L496" s="546">
        <f>T496</f>
        <v>0</v>
      </c>
      <c r="M496" s="546">
        <f ca="1">T498</f>
        <v>0</v>
      </c>
      <c r="N496" s="546">
        <f t="shared" ref="N496:R496" ca="1" si="494">M498</f>
        <v>2250</v>
      </c>
      <c r="O496" s="546">
        <f t="shared" ca="1" si="494"/>
        <v>5250</v>
      </c>
      <c r="P496" s="546">
        <f t="shared" ca="1" si="494"/>
        <v>8250</v>
      </c>
      <c r="Q496" s="546">
        <f t="shared" ca="1" si="494"/>
        <v>11250</v>
      </c>
      <c r="R496" s="546">
        <f t="shared" ca="1" si="494"/>
        <v>14250</v>
      </c>
      <c r="S496" s="359">
        <v>0</v>
      </c>
      <c r="T496" s="134">
        <f>MAX(($G$496-T487),0)</f>
        <v>0</v>
      </c>
    </row>
    <row r="497" spans="2:20" outlineLevel="1" x14ac:dyDescent="0.45">
      <c r="B497" s="129" t="s">
        <v>377</v>
      </c>
      <c r="C497" s="125"/>
      <c r="D497" s="125"/>
      <c r="E497" s="125"/>
      <c r="F497" s="125"/>
      <c r="G497" s="125"/>
      <c r="L497" s="552">
        <f ca="1">T497</f>
        <v>0</v>
      </c>
      <c r="M497" s="552">
        <f t="shared" ref="M497:R497" ca="1" si="495">-SUM(M488:M489)</f>
        <v>2250</v>
      </c>
      <c r="N497" s="552">
        <f t="shared" ca="1" si="495"/>
        <v>3000</v>
      </c>
      <c r="O497" s="552">
        <f t="shared" ca="1" si="495"/>
        <v>3000</v>
      </c>
      <c r="P497" s="552">
        <f t="shared" ca="1" si="495"/>
        <v>3000</v>
      </c>
      <c r="Q497" s="552">
        <f t="shared" ca="1" si="495"/>
        <v>3000</v>
      </c>
      <c r="R497" s="552">
        <f t="shared" ca="1" si="495"/>
        <v>3000</v>
      </c>
      <c r="S497" s="552">
        <v>0</v>
      </c>
      <c r="T497" s="552">
        <f ca="1">-SUM(T488:T489)</f>
        <v>0</v>
      </c>
    </row>
    <row r="498" spans="2:20" outlineLevel="1" x14ac:dyDescent="0.45">
      <c r="B498" s="129" t="s">
        <v>353</v>
      </c>
      <c r="C498" s="125"/>
      <c r="D498" s="125"/>
      <c r="E498" s="125"/>
      <c r="F498" s="125"/>
      <c r="G498" s="125"/>
      <c r="L498" s="546">
        <f ca="1">SUM(L496:L497)</f>
        <v>0</v>
      </c>
      <c r="M498" s="546">
        <f t="shared" ref="M498:R498" ca="1" si="496">SUM(M496:M497)</f>
        <v>2250</v>
      </c>
      <c r="N498" s="546">
        <f t="shared" ca="1" si="496"/>
        <v>5250</v>
      </c>
      <c r="O498" s="546">
        <f t="shared" ca="1" si="496"/>
        <v>8250</v>
      </c>
      <c r="P498" s="546">
        <f t="shared" ca="1" si="496"/>
        <v>11250</v>
      </c>
      <c r="Q498" s="546">
        <f t="shared" ca="1" si="496"/>
        <v>14250</v>
      </c>
      <c r="R498" s="546">
        <f t="shared" ca="1" si="496"/>
        <v>17250</v>
      </c>
      <c r="S498" s="546">
        <f t="shared" ref="S498" si="497">SUM(S496:S497)</f>
        <v>0</v>
      </c>
      <c r="T498" s="546">
        <f ca="1">SUM(T496:T497)</f>
        <v>0</v>
      </c>
    </row>
    <row r="499" spans="2:20" outlineLevel="1" x14ac:dyDescent="0.45">
      <c r="B499" s="130"/>
      <c r="C499" s="125"/>
      <c r="D499" s="125"/>
      <c r="E499" s="125"/>
      <c r="F499" s="125"/>
      <c r="G499" s="125"/>
      <c r="M499" s="127"/>
      <c r="N499" s="127"/>
      <c r="O499" s="127"/>
      <c r="P499" s="127"/>
      <c r="Q499" s="127"/>
      <c r="R499" s="127"/>
      <c r="S499" s="127"/>
      <c r="T499" s="127"/>
    </row>
    <row r="500" spans="2:20" outlineLevel="1" x14ac:dyDescent="0.45">
      <c r="B500" s="129" t="s">
        <v>378</v>
      </c>
      <c r="C500" s="125"/>
      <c r="D500" s="125"/>
      <c r="E500" s="125"/>
      <c r="F500" s="125"/>
      <c r="G500" s="125"/>
      <c r="L500" s="526">
        <f>T500</f>
        <v>0.01</v>
      </c>
      <c r="M500" s="527">
        <f>'Transaction Details'!$J$50</f>
        <v>0.01</v>
      </c>
      <c r="N500" s="527">
        <f>'Transaction Details'!$J$50</f>
        <v>0.01</v>
      </c>
      <c r="O500" s="527">
        <f>'Transaction Details'!$J$50</f>
        <v>0.01</v>
      </c>
      <c r="P500" s="527">
        <f>'Transaction Details'!$J$50</f>
        <v>0.01</v>
      </c>
      <c r="Q500" s="527">
        <f>'Transaction Details'!$J$50</f>
        <v>0.01</v>
      </c>
      <c r="R500" s="527">
        <f>'Transaction Details'!$J$50</f>
        <v>0.01</v>
      </c>
      <c r="S500" s="213">
        <v>0</v>
      </c>
      <c r="T500" s="531">
        <f>'Transaction Details'!$J$50</f>
        <v>0.01</v>
      </c>
    </row>
    <row r="501" spans="2:20" outlineLevel="1" x14ac:dyDescent="0.45">
      <c r="B501" s="130" t="s">
        <v>379</v>
      </c>
      <c r="C501" s="125"/>
      <c r="D501" s="125"/>
      <c r="E501" s="125"/>
      <c r="F501" s="125"/>
      <c r="G501" s="125"/>
      <c r="L501" s="546">
        <f ca="1">T501</f>
        <v>0</v>
      </c>
      <c r="M501" s="546">
        <f ca="1">IF( 'Key Inputs and Drivers'!$C$7 = 1, -AVERAGE(M496,M498)*M500, 0)</f>
        <v>-11.25</v>
      </c>
      <c r="N501" s="546">
        <f ca="1">IF( 'Key Inputs and Drivers'!$C$7 = 1, -AVERAGE(N496,N498)*N500, 0)</f>
        <v>-37.5</v>
      </c>
      <c r="O501" s="546">
        <f ca="1">IF( 'Key Inputs and Drivers'!$C$7 = 1, -AVERAGE(O496,O498)*O500, 0)</f>
        <v>-67.5</v>
      </c>
      <c r="P501" s="546">
        <f ca="1">IF( 'Key Inputs and Drivers'!$C$7 = 1, -AVERAGE(P496,P498)*P500, 0)</f>
        <v>-97.5</v>
      </c>
      <c r="Q501" s="546">
        <f ca="1">IF( 'Key Inputs and Drivers'!$C$7 = 1, -AVERAGE(Q496,Q498)*Q500, 0)</f>
        <v>-127.5</v>
      </c>
      <c r="R501" s="546">
        <f ca="1">IF( 'Key Inputs and Drivers'!$C$7 = 1, -AVERAGE(R496,R498)*R500, 0)</f>
        <v>-157.5</v>
      </c>
      <c r="S501" s="359">
        <v>0</v>
      </c>
      <c r="T501" s="546">
        <f ca="1">IF( 'Key Inputs and Drivers'!$C$7 = 1, -AVERAGE(T496,T498)*T500, 0)*$T$460</f>
        <v>0</v>
      </c>
    </row>
    <row r="502" spans="2:20" outlineLevel="1" x14ac:dyDescent="0.45">
      <c r="B502" s="130"/>
      <c r="C502" s="125"/>
      <c r="D502" s="125"/>
      <c r="E502" s="125"/>
      <c r="F502" s="125"/>
      <c r="G502" s="125"/>
      <c r="M502" s="127"/>
      <c r="N502" s="127"/>
      <c r="O502" s="127"/>
      <c r="P502" s="127"/>
      <c r="Q502" s="127"/>
      <c r="R502" s="127"/>
      <c r="S502" s="127"/>
      <c r="T502" s="127"/>
    </row>
    <row r="503" spans="2:20" outlineLevel="1" x14ac:dyDescent="0.45">
      <c r="B503" s="130" t="s">
        <v>380</v>
      </c>
      <c r="C503" s="125"/>
      <c r="D503" s="125"/>
      <c r="E503" s="125"/>
      <c r="F503" s="125"/>
      <c r="G503" s="125"/>
      <c r="L503" s="572">
        <f ca="1">T503</f>
        <v>159553.15021535993</v>
      </c>
      <c r="M503" s="573">
        <f t="shared" ref="M503:R503" ca="1" si="498">M482+M489</f>
        <v>-17250</v>
      </c>
      <c r="N503" s="573">
        <f t="shared" ca="1" si="498"/>
        <v>-23000</v>
      </c>
      <c r="O503" s="573">
        <f t="shared" ca="1" si="498"/>
        <v>-23000</v>
      </c>
      <c r="P503" s="573">
        <f t="shared" ca="1" si="498"/>
        <v>-23000</v>
      </c>
      <c r="Q503" s="573">
        <f t="shared" ca="1" si="498"/>
        <v>190420.82954361776</v>
      </c>
      <c r="R503" s="573">
        <f t="shared" ca="1" si="498"/>
        <v>537519.76732564077</v>
      </c>
      <c r="S503" s="573">
        <f t="shared" ref="S503" si="499">S482+S489+S501</f>
        <v>0</v>
      </c>
      <c r="T503" s="574">
        <f ca="1">T482+T489</f>
        <v>159553.15021535993</v>
      </c>
    </row>
    <row r="504" spans="2:20" outlineLevel="1" x14ac:dyDescent="0.45">
      <c r="B504" s="130"/>
      <c r="C504" s="125"/>
      <c r="D504" s="125"/>
      <c r="E504" s="125"/>
      <c r="F504" s="125"/>
      <c r="G504" s="125"/>
      <c r="L504" s="213"/>
      <c r="M504" s="213"/>
      <c r="N504" s="213"/>
      <c r="O504" s="213"/>
      <c r="P504" s="213"/>
      <c r="Q504" s="213"/>
      <c r="R504" s="213"/>
      <c r="S504" s="213"/>
      <c r="T504" s="213"/>
    </row>
    <row r="505" spans="2:20" outlineLevel="1" x14ac:dyDescent="0.45">
      <c r="B505" s="130"/>
      <c r="C505" s="125"/>
      <c r="D505" s="125"/>
      <c r="E505" s="125"/>
      <c r="F505" s="125"/>
      <c r="G505" s="125"/>
      <c r="L505" s="213"/>
      <c r="M505" s="213"/>
      <c r="N505" s="213"/>
      <c r="O505" s="213"/>
      <c r="P505" s="213"/>
      <c r="Q505" s="213"/>
      <c r="R505" s="213"/>
      <c r="S505" s="213"/>
      <c r="T505" s="213"/>
    </row>
    <row r="506" spans="2:20" outlineLevel="1" x14ac:dyDescent="0.45">
      <c r="B506" s="130"/>
      <c r="C506" s="125"/>
      <c r="D506" s="125"/>
      <c r="E506" s="125"/>
      <c r="F506" s="125"/>
      <c r="G506" s="125"/>
      <c r="L506" s="213"/>
      <c r="M506" s="213"/>
      <c r="N506" s="213"/>
      <c r="O506" s="213"/>
      <c r="P506" s="213"/>
      <c r="Q506" s="213"/>
      <c r="R506" s="213"/>
      <c r="S506" s="213"/>
      <c r="T506" s="213"/>
    </row>
    <row r="507" spans="2:20" ht="18" outlineLevel="1" x14ac:dyDescent="0.55000000000000004">
      <c r="B507" s="346" t="s">
        <v>381</v>
      </c>
      <c r="C507" s="125"/>
      <c r="D507" s="125"/>
      <c r="E507" s="125"/>
      <c r="F507" s="125"/>
      <c r="G507" s="125"/>
      <c r="L507" s="213"/>
      <c r="M507" s="213"/>
      <c r="N507" s="213"/>
      <c r="O507" s="213"/>
      <c r="P507" s="213"/>
      <c r="Q507" s="213"/>
      <c r="R507" s="213"/>
      <c r="S507" s="213"/>
      <c r="T507" s="213"/>
    </row>
    <row r="508" spans="2:20" outlineLevel="1" x14ac:dyDescent="0.45">
      <c r="B508" s="130"/>
      <c r="C508" s="125"/>
      <c r="D508" s="125"/>
      <c r="E508" s="125"/>
      <c r="F508" s="125"/>
      <c r="G508" s="125"/>
      <c r="L508" s="132"/>
      <c r="M508" s="125"/>
      <c r="N508" s="125"/>
      <c r="O508" s="125"/>
      <c r="P508" s="125"/>
      <c r="Q508" s="125"/>
      <c r="R508" s="125"/>
      <c r="S508" s="125"/>
      <c r="T508" s="125"/>
    </row>
    <row r="509" spans="2:20" outlineLevel="1" x14ac:dyDescent="0.45">
      <c r="B509" s="114" t="s">
        <v>363</v>
      </c>
      <c r="C509" s="125"/>
      <c r="D509" s="125"/>
      <c r="E509" s="125"/>
      <c r="F509" s="125"/>
      <c r="G509" s="125"/>
      <c r="L509" s="193"/>
      <c r="M509" s="193"/>
      <c r="N509" s="193"/>
      <c r="O509" s="193"/>
      <c r="P509" s="193"/>
      <c r="Q509" s="193"/>
      <c r="R509" s="193"/>
      <c r="S509" s="193"/>
      <c r="T509" s="193"/>
    </row>
    <row r="510" spans="2:20" outlineLevel="1" x14ac:dyDescent="0.45">
      <c r="B510" s="190" t="s">
        <v>382</v>
      </c>
      <c r="L510" s="587">
        <f ca="1">T510</f>
        <v>159553.15021535993</v>
      </c>
      <c r="M510" s="561">
        <f ca="1">M503</f>
        <v>-17250</v>
      </c>
      <c r="N510" s="561">
        <f t="shared" ref="N510:R510" ca="1" si="500">N503</f>
        <v>-23000</v>
      </c>
      <c r="O510" s="561">
        <f t="shared" ca="1" si="500"/>
        <v>-23000</v>
      </c>
      <c r="P510" s="561">
        <f t="shared" ca="1" si="500"/>
        <v>-23000</v>
      </c>
      <c r="Q510" s="561">
        <f t="shared" ca="1" si="500"/>
        <v>190420.82954361776</v>
      </c>
      <c r="R510" s="561">
        <f t="shared" ca="1" si="500"/>
        <v>537519.76732564077</v>
      </c>
      <c r="S510" s="561">
        <v>0</v>
      </c>
      <c r="T510" s="562">
        <f ca="1">T503</f>
        <v>159553.15021535993</v>
      </c>
    </row>
    <row r="511" spans="2:20" outlineLevel="1" x14ac:dyDescent="0.45">
      <c r="B511" s="190" t="s">
        <v>383</v>
      </c>
      <c r="L511" s="361">
        <f t="shared" ref="L511:L512" ca="1" si="501">T511</f>
        <v>1</v>
      </c>
      <c r="M511" s="201">
        <f t="shared" ref="M511:R511" ca="1" si="502">IF(M510&gt;0,1,0)</f>
        <v>0</v>
      </c>
      <c r="N511" s="201">
        <f t="shared" ca="1" si="502"/>
        <v>0</v>
      </c>
      <c r="O511" s="201">
        <f t="shared" ca="1" si="502"/>
        <v>0</v>
      </c>
      <c r="P511" s="201">
        <f t="shared" ca="1" si="502"/>
        <v>0</v>
      </c>
      <c r="Q511" s="201">
        <f t="shared" ca="1" si="502"/>
        <v>1</v>
      </c>
      <c r="R511" s="201">
        <f t="shared" ca="1" si="502"/>
        <v>1</v>
      </c>
      <c r="S511" s="359">
        <v>0</v>
      </c>
      <c r="T511" s="202">
        <f ca="1">IF(T510&gt;0,1,0)</f>
        <v>1</v>
      </c>
    </row>
    <row r="512" spans="2:20" outlineLevel="1" x14ac:dyDescent="0.45">
      <c r="B512" s="114" t="s">
        <v>367</v>
      </c>
      <c r="L512" s="584">
        <f t="shared" ca="1" si="501"/>
        <v>79776.575107679964</v>
      </c>
      <c r="M512" s="552">
        <f t="shared" ref="M512:R512" ca="1" si="503">M510*$G$515*M511</f>
        <v>0</v>
      </c>
      <c r="N512" s="552">
        <f t="shared" ca="1" si="503"/>
        <v>0</v>
      </c>
      <c r="O512" s="552">
        <f t="shared" ca="1" si="503"/>
        <v>0</v>
      </c>
      <c r="P512" s="552">
        <f t="shared" ca="1" si="503"/>
        <v>0</v>
      </c>
      <c r="Q512" s="552">
        <f t="shared" ca="1" si="503"/>
        <v>95210.414771808879</v>
      </c>
      <c r="R512" s="552">
        <f t="shared" ca="1" si="503"/>
        <v>268759.88366282039</v>
      </c>
      <c r="S512" s="552">
        <v>0</v>
      </c>
      <c r="T512" s="566">
        <f ca="1">T510*$G$515*T511</f>
        <v>79776.575107679964</v>
      </c>
    </row>
    <row r="513" spans="1:20" outlineLevel="1" x14ac:dyDescent="0.45">
      <c r="B513" s="130"/>
      <c r="C513" s="125"/>
      <c r="D513" s="125"/>
      <c r="E513" s="125"/>
      <c r="F513" s="125"/>
      <c r="G513" s="125"/>
      <c r="L513" s="198"/>
      <c r="M513" s="195"/>
      <c r="N513" s="195"/>
      <c r="O513" s="195"/>
      <c r="P513" s="195"/>
      <c r="Q513" s="195"/>
      <c r="R513" s="195"/>
      <c r="S513" s="195"/>
      <c r="T513" s="195"/>
    </row>
    <row r="514" spans="1:20" outlineLevel="1" x14ac:dyDescent="0.45">
      <c r="B514" s="130" t="s">
        <v>368</v>
      </c>
      <c r="C514" s="125"/>
      <c r="D514" s="125"/>
      <c r="E514" s="125"/>
      <c r="F514" s="125"/>
      <c r="G514" s="131" t="s">
        <v>384</v>
      </c>
      <c r="L514" s="546">
        <f ca="1">T514</f>
        <v>2300000</v>
      </c>
      <c r="M514" s="546">
        <f t="shared" ref="M514:R514" ca="1" si="504">M475</f>
        <v>2282750</v>
      </c>
      <c r="N514" s="546">
        <f t="shared" ca="1" si="504"/>
        <v>2259750</v>
      </c>
      <c r="O514" s="546">
        <f t="shared" ca="1" si="504"/>
        <v>2236750</v>
      </c>
      <c r="P514" s="546">
        <f t="shared" ca="1" si="504"/>
        <v>2213750</v>
      </c>
      <c r="Q514" s="546">
        <f t="shared" ca="1" si="504"/>
        <v>2190750</v>
      </c>
      <c r="R514" s="546">
        <f t="shared" ca="1" si="504"/>
        <v>2074406.4561060695</v>
      </c>
      <c r="S514" s="546">
        <v>0</v>
      </c>
      <c r="T514" s="546">
        <f ca="1">T475</f>
        <v>2300000</v>
      </c>
    </row>
    <row r="515" spans="1:20" outlineLevel="1" x14ac:dyDescent="0.45">
      <c r="B515" s="190" t="s">
        <v>385</v>
      </c>
      <c r="C515" s="125"/>
      <c r="D515" s="125"/>
      <c r="E515" s="125"/>
      <c r="F515" s="125"/>
      <c r="G515" s="533">
        <f>'Transaction Details'!N49</f>
        <v>0.5</v>
      </c>
      <c r="L515" s="526">
        <f t="shared" ref="L515:L518" si="505">T515</f>
        <v>0.02</v>
      </c>
      <c r="M515" s="527">
        <f>'Transaction Details'!$K$49</f>
        <v>0.02</v>
      </c>
      <c r="N515" s="527">
        <f>'Transaction Details'!$K$49</f>
        <v>0.02</v>
      </c>
      <c r="O515" s="527">
        <f>'Transaction Details'!$K$49</f>
        <v>0.02</v>
      </c>
      <c r="P515" s="527">
        <f>'Transaction Details'!$K$49</f>
        <v>0.02</v>
      </c>
      <c r="Q515" s="527">
        <f>'Transaction Details'!$K$49</f>
        <v>0.02</v>
      </c>
      <c r="R515" s="527">
        <f>'Transaction Details'!$K$49</f>
        <v>0.02</v>
      </c>
      <c r="S515" s="359">
        <v>0</v>
      </c>
      <c r="T515" s="527">
        <f>'Transaction Details'!$K$49</f>
        <v>0.02</v>
      </c>
    </row>
    <row r="516" spans="1:20" outlineLevel="1" x14ac:dyDescent="0.45">
      <c r="B516" s="190" t="s">
        <v>386</v>
      </c>
      <c r="C516" s="125"/>
      <c r="D516" s="125"/>
      <c r="E516" s="125"/>
      <c r="F516" s="125"/>
      <c r="G516" s="203"/>
      <c r="L516" s="546">
        <f t="shared" ca="1" si="505"/>
        <v>0</v>
      </c>
      <c r="M516" s="546">
        <f t="shared" ref="M516:R516" ca="1" si="506">-MIN(M514,(M512/(1+M515)*M$465))</f>
        <v>0</v>
      </c>
      <c r="N516" s="546">
        <f t="shared" ca="1" si="506"/>
        <v>0</v>
      </c>
      <c r="O516" s="546">
        <f t="shared" ca="1" si="506"/>
        <v>0</v>
      </c>
      <c r="P516" s="546">
        <f t="shared" ca="1" si="506"/>
        <v>0</v>
      </c>
      <c r="Q516" s="546">
        <f t="shared" ca="1" si="506"/>
        <v>-93343.543893930269</v>
      </c>
      <c r="R516" s="546">
        <f t="shared" ca="1" si="506"/>
        <v>-263490.08202237292</v>
      </c>
      <c r="S516" s="546">
        <v>0</v>
      </c>
      <c r="T516" s="546">
        <f ca="1">-MIN(T514,(T512/(1+T515)*T$465))*$T$460</f>
        <v>0</v>
      </c>
    </row>
    <row r="517" spans="1:20" outlineLevel="1" x14ac:dyDescent="0.45">
      <c r="B517" s="190" t="s">
        <v>387</v>
      </c>
      <c r="C517" s="125"/>
      <c r="D517" s="125"/>
      <c r="E517" s="125"/>
      <c r="F517" s="125"/>
      <c r="G517" s="203"/>
      <c r="L517" s="546">
        <f t="shared" ca="1" si="505"/>
        <v>0</v>
      </c>
      <c r="M517" s="546">
        <f t="shared" ref="M517:R517" ca="1" si="507">M515*M516</f>
        <v>0</v>
      </c>
      <c r="N517" s="546">
        <f t="shared" ca="1" si="507"/>
        <v>0</v>
      </c>
      <c r="O517" s="546">
        <f t="shared" ca="1" si="507"/>
        <v>0</v>
      </c>
      <c r="P517" s="546">
        <f t="shared" ca="1" si="507"/>
        <v>0</v>
      </c>
      <c r="Q517" s="546">
        <f t="shared" ca="1" si="507"/>
        <v>-1866.8708778786054</v>
      </c>
      <c r="R517" s="546">
        <f t="shared" ca="1" si="507"/>
        <v>-5269.8016404474583</v>
      </c>
      <c r="S517" s="546">
        <v>0</v>
      </c>
      <c r="T517" s="546">
        <f ca="1">T515*T516</f>
        <v>0</v>
      </c>
    </row>
    <row r="518" spans="1:20" outlineLevel="1" x14ac:dyDescent="0.45">
      <c r="B518" s="190" t="s">
        <v>388</v>
      </c>
      <c r="C518" s="125"/>
      <c r="D518" s="125"/>
      <c r="E518" s="125"/>
      <c r="F518" s="125"/>
      <c r="G518" s="125"/>
      <c r="L518" s="552">
        <f t="shared" ca="1" si="505"/>
        <v>0</v>
      </c>
      <c r="M518" s="552">
        <f t="shared" ref="M518:R518" ca="1" si="508">SUM(M516:M517)</f>
        <v>0</v>
      </c>
      <c r="N518" s="552">
        <f t="shared" ca="1" si="508"/>
        <v>0</v>
      </c>
      <c r="O518" s="552">
        <f t="shared" ca="1" si="508"/>
        <v>0</v>
      </c>
      <c r="P518" s="552">
        <f t="shared" ca="1" si="508"/>
        <v>0</v>
      </c>
      <c r="Q518" s="552">
        <f t="shared" ca="1" si="508"/>
        <v>-95210.414771808879</v>
      </c>
      <c r="R518" s="552">
        <f t="shared" ca="1" si="508"/>
        <v>-268759.88366282039</v>
      </c>
      <c r="S518" s="552">
        <v>0</v>
      </c>
      <c r="T518" s="552">
        <f ca="1">SUM(T516:T517)</f>
        <v>0</v>
      </c>
    </row>
    <row r="519" spans="1:20" outlineLevel="1" x14ac:dyDescent="0.45">
      <c r="B519" s="130" t="s">
        <v>371</v>
      </c>
      <c r="C519" s="125"/>
      <c r="D519" s="125"/>
      <c r="E519" s="125"/>
      <c r="F519" s="125"/>
      <c r="G519" s="125"/>
      <c r="L519" s="546">
        <f ca="1">SUM(L514:L518)</f>
        <v>2300000.02</v>
      </c>
      <c r="M519" s="546">
        <f t="shared" ref="M519:S519" ca="1" si="509">SUM(M514,M516)</f>
        <v>2282750</v>
      </c>
      <c r="N519" s="546">
        <f t="shared" ca="1" si="509"/>
        <v>2259750</v>
      </c>
      <c r="O519" s="546">
        <f t="shared" ca="1" si="509"/>
        <v>2236750</v>
      </c>
      <c r="P519" s="546">
        <f t="shared" ca="1" si="509"/>
        <v>2213750</v>
      </c>
      <c r="Q519" s="546">
        <f t="shared" ca="1" si="509"/>
        <v>2097406.4561060695</v>
      </c>
      <c r="R519" s="546">
        <f t="shared" ca="1" si="509"/>
        <v>1810916.3740836966</v>
      </c>
      <c r="S519" s="546">
        <f t="shared" si="509"/>
        <v>0</v>
      </c>
      <c r="T519" s="546">
        <f ca="1">SUM(T514,T516)</f>
        <v>2300000</v>
      </c>
    </row>
    <row r="520" spans="1:20" outlineLevel="1" x14ac:dyDescent="0.45">
      <c r="B520" s="130"/>
      <c r="C520" s="125"/>
      <c r="D520" s="125"/>
      <c r="E520" s="125"/>
      <c r="F520" s="125"/>
      <c r="G520" s="125"/>
      <c r="L520" s="198"/>
      <c r="M520" s="195"/>
      <c r="N520" s="195"/>
      <c r="O520" s="195"/>
      <c r="P520" s="195"/>
      <c r="Q520" s="195"/>
      <c r="R520" s="195"/>
      <c r="S520" s="195"/>
      <c r="T520" s="195"/>
    </row>
    <row r="521" spans="1:20" outlineLevel="1" x14ac:dyDescent="0.45">
      <c r="B521" s="130" t="s">
        <v>389</v>
      </c>
      <c r="C521" s="125"/>
      <c r="D521" s="125"/>
      <c r="E521" s="125"/>
      <c r="F521" s="125"/>
      <c r="G521" s="125"/>
      <c r="L521" s="572">
        <f ca="1">T521</f>
        <v>159553.15021535993</v>
      </c>
      <c r="M521" s="573">
        <f t="shared" ref="M521:T521" ca="1" si="510">SUM(M510,M518)</f>
        <v>-17250</v>
      </c>
      <c r="N521" s="573">
        <f t="shared" ca="1" si="510"/>
        <v>-23000</v>
      </c>
      <c r="O521" s="573">
        <f t="shared" ca="1" si="510"/>
        <v>-23000</v>
      </c>
      <c r="P521" s="573">
        <f t="shared" ca="1" si="510"/>
        <v>-23000</v>
      </c>
      <c r="Q521" s="573">
        <f t="shared" ca="1" si="510"/>
        <v>95210.414771808879</v>
      </c>
      <c r="R521" s="573">
        <f t="shared" ca="1" si="510"/>
        <v>268759.88366282039</v>
      </c>
      <c r="S521" s="573">
        <v>0</v>
      </c>
      <c r="T521" s="574">
        <f t="shared" ca="1" si="510"/>
        <v>159553.15021535993</v>
      </c>
    </row>
    <row r="522" spans="1:20" s="197" customFormat="1" outlineLevel="1" x14ac:dyDescent="0.45">
      <c r="A522" s="110"/>
      <c r="B522" s="130"/>
      <c r="C522" s="195"/>
      <c r="D522" s="195"/>
      <c r="E522" s="195"/>
      <c r="F522" s="195"/>
      <c r="G522" s="195"/>
      <c r="L522" s="198"/>
      <c r="M522" s="195"/>
      <c r="N522" s="195"/>
      <c r="O522" s="195"/>
      <c r="P522" s="195"/>
      <c r="Q522" s="195"/>
      <c r="R522" s="195"/>
      <c r="S522" s="195"/>
      <c r="T522" s="195"/>
    </row>
    <row r="523" spans="1:20" outlineLevel="1" x14ac:dyDescent="0.45">
      <c r="B523" s="114" t="s">
        <v>372</v>
      </c>
      <c r="C523" s="125"/>
      <c r="D523" s="125"/>
      <c r="E523" s="125"/>
      <c r="F523" s="125"/>
      <c r="G523" s="125"/>
      <c r="L523" s="193"/>
      <c r="M523" s="193"/>
      <c r="N523" s="193"/>
      <c r="O523" s="193"/>
      <c r="P523" s="193"/>
      <c r="Q523" s="193"/>
      <c r="R523" s="193"/>
      <c r="S523" s="193"/>
      <c r="T523" s="193"/>
    </row>
    <row r="524" spans="1:20" outlineLevel="1" x14ac:dyDescent="0.45">
      <c r="B524" s="190" t="s">
        <v>390</v>
      </c>
      <c r="L524" s="587">
        <f ca="1">T524</f>
        <v>159553.15021535993</v>
      </c>
      <c r="M524" s="561">
        <f t="shared" ref="M524:R524" ca="1" si="511">M521</f>
        <v>-17250</v>
      </c>
      <c r="N524" s="561">
        <f t="shared" ca="1" si="511"/>
        <v>-23000</v>
      </c>
      <c r="O524" s="561">
        <f t="shared" ca="1" si="511"/>
        <v>-23000</v>
      </c>
      <c r="P524" s="561">
        <f t="shared" ca="1" si="511"/>
        <v>-23000</v>
      </c>
      <c r="Q524" s="561">
        <f t="shared" ca="1" si="511"/>
        <v>95210.414771808879</v>
      </c>
      <c r="R524" s="561">
        <f t="shared" ca="1" si="511"/>
        <v>268759.88366282039</v>
      </c>
      <c r="S524" s="561">
        <v>0</v>
      </c>
      <c r="T524" s="562">
        <f t="shared" ref="T524" ca="1" si="512">T521</f>
        <v>159553.15021535993</v>
      </c>
    </row>
    <row r="525" spans="1:20" outlineLevel="1" x14ac:dyDescent="0.45">
      <c r="B525" s="190" t="s">
        <v>383</v>
      </c>
      <c r="L525" s="200">
        <f ca="1">T525</f>
        <v>1</v>
      </c>
      <c r="M525" s="201">
        <f t="shared" ref="M525:R525" ca="1" si="513">IF(M524&gt;0,1,0)</f>
        <v>0</v>
      </c>
      <c r="N525" s="201">
        <f t="shared" ca="1" si="513"/>
        <v>0</v>
      </c>
      <c r="O525" s="201">
        <f t="shared" ca="1" si="513"/>
        <v>0</v>
      </c>
      <c r="P525" s="201">
        <f t="shared" ca="1" si="513"/>
        <v>0</v>
      </c>
      <c r="Q525" s="201">
        <f t="shared" ca="1" si="513"/>
        <v>1</v>
      </c>
      <c r="R525" s="201">
        <f t="shared" ca="1" si="513"/>
        <v>1</v>
      </c>
      <c r="S525" s="359">
        <v>0</v>
      </c>
      <c r="T525" s="202">
        <f t="shared" ref="T525" ca="1" si="514">IF(T524&gt;0,1,0)</f>
        <v>1</v>
      </c>
    </row>
    <row r="526" spans="1:20" outlineLevel="1" x14ac:dyDescent="0.45">
      <c r="B526" s="114" t="s">
        <v>375</v>
      </c>
      <c r="L526" s="208">
        <f ca="1">T526</f>
        <v>0</v>
      </c>
      <c r="M526" s="570">
        <f t="shared" ref="M526:R526" ca="1" si="515">M525*M524*$G$529</f>
        <v>0</v>
      </c>
      <c r="N526" s="570">
        <f t="shared" ca="1" si="515"/>
        <v>0</v>
      </c>
      <c r="O526" s="570">
        <f t="shared" ca="1" si="515"/>
        <v>0</v>
      </c>
      <c r="P526" s="570">
        <f t="shared" ca="1" si="515"/>
        <v>0</v>
      </c>
      <c r="Q526" s="570">
        <f t="shared" ca="1" si="515"/>
        <v>0</v>
      </c>
      <c r="R526" s="570">
        <f t="shared" ca="1" si="515"/>
        <v>0</v>
      </c>
      <c r="S526" s="555">
        <v>0</v>
      </c>
      <c r="T526" s="209">
        <f t="shared" ref="T526" ca="1" si="516">T525*T524*$G$529</f>
        <v>0</v>
      </c>
    </row>
    <row r="527" spans="1:20" outlineLevel="1" x14ac:dyDescent="0.45">
      <c r="B527" s="130"/>
      <c r="C527" s="125"/>
      <c r="D527" s="125"/>
      <c r="E527" s="125"/>
      <c r="F527" s="125"/>
      <c r="G527" s="125"/>
      <c r="L527" s="198"/>
      <c r="M527" s="195"/>
      <c r="N527" s="195"/>
      <c r="O527" s="195"/>
      <c r="P527" s="195"/>
      <c r="Q527" s="195"/>
      <c r="R527" s="195"/>
      <c r="S527" s="195"/>
      <c r="T527" s="195"/>
    </row>
    <row r="528" spans="1:20" outlineLevel="1" x14ac:dyDescent="0.45">
      <c r="B528" s="130" t="s">
        <v>368</v>
      </c>
      <c r="C528" s="125"/>
      <c r="D528" s="125"/>
      <c r="E528" s="125"/>
      <c r="F528" s="125"/>
      <c r="G528" s="131" t="s">
        <v>384</v>
      </c>
      <c r="L528" s="546">
        <f ca="1">T528</f>
        <v>300000</v>
      </c>
      <c r="M528" s="546">
        <f t="shared" ref="M528:R528" ca="1" si="517">M490</f>
        <v>297750</v>
      </c>
      <c r="N528" s="546">
        <f t="shared" ca="1" si="517"/>
        <v>294750</v>
      </c>
      <c r="O528" s="546">
        <f t="shared" ca="1" si="517"/>
        <v>291750</v>
      </c>
      <c r="P528" s="546">
        <f t="shared" ca="1" si="517"/>
        <v>288750</v>
      </c>
      <c r="Q528" s="546">
        <f t="shared" ca="1" si="517"/>
        <v>285750</v>
      </c>
      <c r="R528" s="546">
        <f t="shared" ca="1" si="517"/>
        <v>282750</v>
      </c>
      <c r="S528" s="546">
        <v>0</v>
      </c>
      <c r="T528" s="546">
        <f ca="1">T490</f>
        <v>300000</v>
      </c>
    </row>
    <row r="529" spans="1:20" outlineLevel="1" x14ac:dyDescent="0.45">
      <c r="B529" s="190" t="s">
        <v>391</v>
      </c>
      <c r="C529" s="125"/>
      <c r="D529" s="125"/>
      <c r="E529" s="125"/>
      <c r="F529" s="125"/>
      <c r="G529" s="533">
        <f>'Transaction Details'!N61</f>
        <v>0</v>
      </c>
      <c r="L529" s="526">
        <f t="shared" ref="L529:L532" si="518">T529</f>
        <v>0.02</v>
      </c>
      <c r="M529" s="527">
        <f>'Transaction Details'!$K$50</f>
        <v>0.02</v>
      </c>
      <c r="N529" s="527">
        <f>'Transaction Details'!$K$50</f>
        <v>0.02</v>
      </c>
      <c r="O529" s="527">
        <f>'Transaction Details'!$K$50</f>
        <v>0.02</v>
      </c>
      <c r="P529" s="527">
        <f>'Transaction Details'!$K$50</f>
        <v>0.02</v>
      </c>
      <c r="Q529" s="527">
        <f>'Transaction Details'!$K$50</f>
        <v>0.02</v>
      </c>
      <c r="R529" s="527">
        <f>'Transaction Details'!$K$50</f>
        <v>0.02</v>
      </c>
      <c r="S529" s="359">
        <v>0</v>
      </c>
      <c r="T529" s="527">
        <f>'Transaction Details'!$K$50</f>
        <v>0.02</v>
      </c>
    </row>
    <row r="530" spans="1:20" outlineLevel="1" x14ac:dyDescent="0.45">
      <c r="B530" s="190" t="s">
        <v>386</v>
      </c>
      <c r="C530" s="125"/>
      <c r="D530" s="125"/>
      <c r="E530" s="125"/>
      <c r="F530" s="125"/>
      <c r="G530" s="203"/>
      <c r="L530" s="134">
        <f t="shared" ca="1" si="518"/>
        <v>0</v>
      </c>
      <c r="M530" s="134">
        <f t="shared" ref="M530:R530" ca="1" si="519">-MIN(M528,(M526/(1+M529))*M$480)</f>
        <v>0</v>
      </c>
      <c r="N530" s="134">
        <f t="shared" ca="1" si="519"/>
        <v>0</v>
      </c>
      <c r="O530" s="134">
        <f t="shared" ca="1" si="519"/>
        <v>0</v>
      </c>
      <c r="P530" s="134">
        <f t="shared" ca="1" si="519"/>
        <v>0</v>
      </c>
      <c r="Q530" s="134">
        <f t="shared" ca="1" si="519"/>
        <v>0</v>
      </c>
      <c r="R530" s="134">
        <f t="shared" ca="1" si="519"/>
        <v>0</v>
      </c>
      <c r="S530" s="359">
        <v>0</v>
      </c>
      <c r="T530" s="134">
        <f ca="1">-MIN(T528,(L526/(1+T529))*T$480)*$T$460</f>
        <v>0</v>
      </c>
    </row>
    <row r="531" spans="1:20" outlineLevel="1" x14ac:dyDescent="0.45">
      <c r="B531" s="190" t="s">
        <v>387</v>
      </c>
      <c r="C531" s="125"/>
      <c r="D531" s="125"/>
      <c r="E531" s="125"/>
      <c r="F531" s="125"/>
      <c r="G531" s="203"/>
      <c r="L531" s="134">
        <f t="shared" ca="1" si="518"/>
        <v>0</v>
      </c>
      <c r="M531" s="134">
        <f t="shared" ref="M531:R531" ca="1" si="520">M530*M529</f>
        <v>0</v>
      </c>
      <c r="N531" s="134">
        <f t="shared" ca="1" si="520"/>
        <v>0</v>
      </c>
      <c r="O531" s="134">
        <f t="shared" ca="1" si="520"/>
        <v>0</v>
      </c>
      <c r="P531" s="134">
        <f t="shared" ca="1" si="520"/>
        <v>0</v>
      </c>
      <c r="Q531" s="134">
        <f t="shared" ca="1" si="520"/>
        <v>0</v>
      </c>
      <c r="R531" s="134">
        <f t="shared" ca="1" si="520"/>
        <v>0</v>
      </c>
      <c r="S531" s="359">
        <v>0</v>
      </c>
      <c r="T531" s="134">
        <f ca="1">T530*T529</f>
        <v>0</v>
      </c>
    </row>
    <row r="532" spans="1:20" outlineLevel="1" x14ac:dyDescent="0.45">
      <c r="B532" s="190" t="s">
        <v>388</v>
      </c>
      <c r="C532" s="125"/>
      <c r="D532" s="125"/>
      <c r="E532" s="125"/>
      <c r="F532" s="125"/>
      <c r="G532" s="125"/>
      <c r="L532" s="154">
        <f t="shared" ca="1" si="518"/>
        <v>0</v>
      </c>
      <c r="M532" s="154">
        <f t="shared" ref="M532:R532" ca="1" si="521">SUM(M530:M531)</f>
        <v>0</v>
      </c>
      <c r="N532" s="154">
        <f t="shared" ca="1" si="521"/>
        <v>0</v>
      </c>
      <c r="O532" s="154">
        <f t="shared" ca="1" si="521"/>
        <v>0</v>
      </c>
      <c r="P532" s="154">
        <f t="shared" ca="1" si="521"/>
        <v>0</v>
      </c>
      <c r="Q532" s="154">
        <f t="shared" ca="1" si="521"/>
        <v>0</v>
      </c>
      <c r="R532" s="154">
        <f t="shared" ca="1" si="521"/>
        <v>0</v>
      </c>
      <c r="S532" s="347">
        <v>0</v>
      </c>
      <c r="T532" s="154">
        <f ca="1">SUM(T530:T531)</f>
        <v>0</v>
      </c>
    </row>
    <row r="533" spans="1:20" outlineLevel="1" x14ac:dyDescent="0.45">
      <c r="B533" s="130" t="s">
        <v>371</v>
      </c>
      <c r="C533" s="125"/>
      <c r="D533" s="125"/>
      <c r="E533" s="125"/>
      <c r="F533" s="125"/>
      <c r="G533" s="125"/>
      <c r="L533" s="546">
        <f ca="1">SUM(L528:L532)</f>
        <v>300000.02</v>
      </c>
      <c r="M533" s="546">
        <f t="shared" ref="M533:S533" ca="1" si="522">SUM(M528,M530)</f>
        <v>297750</v>
      </c>
      <c r="N533" s="546">
        <f t="shared" ca="1" si="522"/>
        <v>294750</v>
      </c>
      <c r="O533" s="546">
        <f t="shared" ca="1" si="522"/>
        <v>291750</v>
      </c>
      <c r="P533" s="546">
        <f t="shared" ca="1" si="522"/>
        <v>288750</v>
      </c>
      <c r="Q533" s="546">
        <f t="shared" ca="1" si="522"/>
        <v>285750</v>
      </c>
      <c r="R533" s="546">
        <f t="shared" ca="1" si="522"/>
        <v>282750</v>
      </c>
      <c r="S533" s="546">
        <f t="shared" si="522"/>
        <v>0</v>
      </c>
      <c r="T533" s="546">
        <f ca="1">SUM(T528,T530)</f>
        <v>300000</v>
      </c>
    </row>
    <row r="534" spans="1:20" outlineLevel="1" x14ac:dyDescent="0.45">
      <c r="B534" s="130"/>
      <c r="C534" s="125"/>
      <c r="D534" s="125"/>
      <c r="E534" s="125"/>
      <c r="F534" s="125"/>
      <c r="G534" s="125"/>
      <c r="L534" s="132"/>
      <c r="M534" s="125"/>
      <c r="N534" s="125"/>
      <c r="O534" s="125"/>
      <c r="P534" s="125"/>
      <c r="Q534" s="125"/>
      <c r="R534" s="125"/>
      <c r="S534" s="125"/>
      <c r="T534" s="125"/>
    </row>
    <row r="535" spans="1:20" outlineLevel="1" x14ac:dyDescent="0.45">
      <c r="B535" s="130" t="s">
        <v>380</v>
      </c>
      <c r="C535" s="125"/>
      <c r="D535" s="125"/>
      <c r="E535" s="125"/>
      <c r="F535" s="125"/>
      <c r="G535" s="125"/>
      <c r="L535" s="210">
        <f>T535</f>
        <v>0</v>
      </c>
      <c r="M535" s="211">
        <f t="shared" ref="M535:R535" ca="1" si="523">SUM(M526,M532)</f>
        <v>0</v>
      </c>
      <c r="N535" s="211">
        <f t="shared" ca="1" si="523"/>
        <v>0</v>
      </c>
      <c r="O535" s="211">
        <f t="shared" ca="1" si="523"/>
        <v>0</v>
      </c>
      <c r="P535" s="211">
        <f t="shared" ca="1" si="523"/>
        <v>0</v>
      </c>
      <c r="Q535" s="211">
        <f t="shared" ca="1" si="523"/>
        <v>0</v>
      </c>
      <c r="R535" s="211">
        <f t="shared" ca="1" si="523"/>
        <v>0</v>
      </c>
      <c r="S535" s="360">
        <v>0</v>
      </c>
      <c r="T535" s="212">
        <v>0</v>
      </c>
    </row>
    <row r="536" spans="1:20" x14ac:dyDescent="0.45">
      <c r="B536" s="112"/>
      <c r="C536" s="122"/>
      <c r="D536" s="122"/>
      <c r="E536" s="122"/>
    </row>
    <row r="537" spans="1:20" ht="15" customHeight="1" x14ac:dyDescent="0.45">
      <c r="A537" s="107" t="s">
        <v>18</v>
      </c>
      <c r="B537" s="108" t="s">
        <v>392</v>
      </c>
      <c r="C537" s="109"/>
      <c r="D537" s="109"/>
      <c r="E537" s="109"/>
      <c r="F537" s="109"/>
      <c r="G537" s="109"/>
      <c r="H537" s="109"/>
      <c r="I537" s="109"/>
      <c r="J537" s="109"/>
      <c r="K537" s="109"/>
      <c r="L537" s="109"/>
      <c r="M537" s="109"/>
      <c r="N537" s="109"/>
      <c r="O537" s="109"/>
      <c r="P537" s="109"/>
      <c r="Q537" s="109"/>
      <c r="R537" s="109"/>
      <c r="S537" s="109"/>
      <c r="T537" s="109"/>
    </row>
    <row r="538" spans="1:20" outlineLevel="1" x14ac:dyDescent="0.45">
      <c r="A538" s="111"/>
      <c r="B538" s="616" t="s">
        <v>21</v>
      </c>
      <c r="C538" s="616"/>
      <c r="D538" s="122"/>
      <c r="E538" s="122"/>
      <c r="K538" s="3"/>
      <c r="L538" s="3"/>
      <c r="M538" s="3"/>
      <c r="N538" s="3"/>
      <c r="O538" s="3"/>
      <c r="P538" s="3"/>
      <c r="Q538" s="3"/>
      <c r="R538" s="3"/>
      <c r="S538" s="615" t="s">
        <v>176</v>
      </c>
      <c r="T538" s="615"/>
    </row>
    <row r="539" spans="1:20" ht="14.65" outlineLevel="1" thickBot="1" x14ac:dyDescent="0.5">
      <c r="A539" s="111"/>
      <c r="B539" s="112"/>
      <c r="F539" s="110"/>
      <c r="K539" s="3"/>
      <c r="L539" s="101" t="s">
        <v>117</v>
      </c>
      <c r="M539" s="102">
        <v>2025</v>
      </c>
      <c r="N539" s="102">
        <f>M539+1</f>
        <v>2026</v>
      </c>
      <c r="O539" s="102">
        <f t="shared" ref="O539" si="524">N539+1</f>
        <v>2027</v>
      </c>
      <c r="P539" s="102">
        <f t="shared" ref="P539" si="525">O539+1</f>
        <v>2028</v>
      </c>
      <c r="Q539" s="102">
        <f>P539+1</f>
        <v>2029</v>
      </c>
      <c r="R539" s="102">
        <f>Q539+1</f>
        <v>2030</v>
      </c>
      <c r="S539" s="284">
        <v>45582</v>
      </c>
      <c r="T539" s="284">
        <v>45657</v>
      </c>
    </row>
    <row r="540" spans="1:20" outlineLevel="1" x14ac:dyDescent="0.45">
      <c r="A540" s="111"/>
      <c r="B540" s="111"/>
      <c r="K540" s="64" t="s">
        <v>119</v>
      </c>
      <c r="L540" s="350">
        <f>L458</f>
        <v>45657</v>
      </c>
      <c r="M540" s="350">
        <f t="shared" ref="M540:T540" si="526">M458</f>
        <v>46022</v>
      </c>
      <c r="N540" s="350">
        <f t="shared" si="526"/>
        <v>46387</v>
      </c>
      <c r="O540" s="350">
        <f t="shared" si="526"/>
        <v>46752</v>
      </c>
      <c r="P540" s="350">
        <f t="shared" si="526"/>
        <v>47118</v>
      </c>
      <c r="Q540" s="350">
        <f t="shared" si="526"/>
        <v>47483</v>
      </c>
      <c r="R540" s="350">
        <f t="shared" si="526"/>
        <v>47848</v>
      </c>
      <c r="S540" s="350">
        <f t="shared" si="526"/>
        <v>45582</v>
      </c>
      <c r="T540" s="350">
        <f t="shared" si="526"/>
        <v>45657</v>
      </c>
    </row>
    <row r="541" spans="1:20" outlineLevel="1" x14ac:dyDescent="0.45">
      <c r="A541" s="111"/>
      <c r="B541" s="116"/>
      <c r="K541" s="64" t="s">
        <v>120</v>
      </c>
      <c r="L541" s="351">
        <f>L459</f>
        <v>365</v>
      </c>
      <c r="M541" s="351">
        <f t="shared" ref="M541:T543" si="527">M459</f>
        <v>365</v>
      </c>
      <c r="N541" s="351">
        <f t="shared" si="527"/>
        <v>365</v>
      </c>
      <c r="O541" s="351">
        <f t="shared" si="527"/>
        <v>365</v>
      </c>
      <c r="P541" s="351">
        <f t="shared" si="527"/>
        <v>365</v>
      </c>
      <c r="Q541" s="351">
        <f t="shared" si="527"/>
        <v>365</v>
      </c>
      <c r="R541" s="351">
        <f t="shared" si="527"/>
        <v>365</v>
      </c>
      <c r="S541" s="351">
        <f t="shared" si="527"/>
        <v>291</v>
      </c>
      <c r="T541" s="351">
        <f t="shared" si="527"/>
        <v>75</v>
      </c>
    </row>
    <row r="542" spans="1:20" outlineLevel="1" x14ac:dyDescent="0.45">
      <c r="A542" s="111"/>
      <c r="B542" s="116"/>
      <c r="K542" s="64" t="s">
        <v>122</v>
      </c>
      <c r="L542" s="591">
        <f>L460</f>
        <v>1</v>
      </c>
      <c r="M542" s="591">
        <f t="shared" si="527"/>
        <v>1</v>
      </c>
      <c r="N542" s="591">
        <f t="shared" si="527"/>
        <v>1</v>
      </c>
      <c r="O542" s="591">
        <f t="shared" si="527"/>
        <v>1</v>
      </c>
      <c r="P542" s="591">
        <f t="shared" si="527"/>
        <v>1</v>
      </c>
      <c r="Q542" s="591">
        <f t="shared" si="527"/>
        <v>1</v>
      </c>
      <c r="R542" s="591">
        <f t="shared" si="527"/>
        <v>1</v>
      </c>
      <c r="S542" s="591">
        <f t="shared" si="527"/>
        <v>0.79722222222222228</v>
      </c>
      <c r="T542" s="591">
        <f t="shared" si="527"/>
        <v>0.20277777777777772</v>
      </c>
    </row>
    <row r="543" spans="1:20" outlineLevel="1" x14ac:dyDescent="0.45">
      <c r="A543" s="111"/>
      <c r="B543" s="116"/>
      <c r="K543" s="64" t="s">
        <v>123</v>
      </c>
      <c r="L543" s="350" t="str">
        <f>L461</f>
        <v>USD, $000</v>
      </c>
      <c r="M543" s="350" t="str">
        <f t="shared" si="527"/>
        <v>USD, $000</v>
      </c>
      <c r="N543" s="350" t="str">
        <f t="shared" si="527"/>
        <v>USD, $000</v>
      </c>
      <c r="O543" s="350" t="str">
        <f t="shared" si="527"/>
        <v>USD, $000</v>
      </c>
      <c r="P543" s="350" t="str">
        <f t="shared" si="527"/>
        <v>USD, $000</v>
      </c>
      <c r="Q543" s="350" t="str">
        <f t="shared" si="527"/>
        <v>USD, $000</v>
      </c>
      <c r="R543" s="350" t="str">
        <f t="shared" si="527"/>
        <v>USD, $000</v>
      </c>
      <c r="S543" s="350" t="str">
        <f t="shared" si="527"/>
        <v>USD, $000</v>
      </c>
      <c r="T543" s="350" t="str">
        <f t="shared" si="527"/>
        <v>USD, $000</v>
      </c>
    </row>
    <row r="544" spans="1:20" outlineLevel="1" x14ac:dyDescent="0.45">
      <c r="B544" s="129"/>
    </row>
    <row r="545" spans="2:20" outlineLevel="1" x14ac:dyDescent="0.45">
      <c r="B545" s="114" t="s">
        <v>393</v>
      </c>
    </row>
    <row r="546" spans="2:20" outlineLevel="1" x14ac:dyDescent="0.45">
      <c r="B546" s="191" t="s">
        <v>394</v>
      </c>
      <c r="L546" s="546">
        <f>L411</f>
        <v>-568793</v>
      </c>
      <c r="M546" s="546">
        <f t="shared" ref="M546:T546" si="528">M411</f>
        <v>0</v>
      </c>
      <c r="N546" s="546">
        <f t="shared" si="528"/>
        <v>0</v>
      </c>
      <c r="O546" s="546">
        <f t="shared" si="528"/>
        <v>0</v>
      </c>
      <c r="P546" s="546">
        <f t="shared" si="528"/>
        <v>0</v>
      </c>
      <c r="Q546" s="546">
        <f t="shared" si="528"/>
        <v>0</v>
      </c>
      <c r="R546" s="546">
        <f t="shared" si="528"/>
        <v>0</v>
      </c>
      <c r="S546" s="546">
        <f t="shared" si="528"/>
        <v>-23807</v>
      </c>
      <c r="T546" s="546">
        <f t="shared" si="528"/>
        <v>-544986</v>
      </c>
    </row>
    <row r="547" spans="2:20" outlineLevel="1" x14ac:dyDescent="0.45">
      <c r="B547" s="191" t="s">
        <v>207</v>
      </c>
      <c r="L547" s="546">
        <f>L437</f>
        <v>50000</v>
      </c>
      <c r="M547" s="546">
        <f t="shared" ref="M547:R547" ca="1" si="529">M436</f>
        <v>114273.98402056846</v>
      </c>
      <c r="N547" s="546">
        <f t="shared" ca="1" si="529"/>
        <v>39497.176509140801</v>
      </c>
      <c r="O547" s="546">
        <f t="shared" ca="1" si="529"/>
        <v>-28429.579630085354</v>
      </c>
      <c r="P547" s="546">
        <f t="shared" ca="1" si="529"/>
        <v>-135115.41795237618</v>
      </c>
      <c r="Q547" s="546">
        <f t="shared" ca="1" si="529"/>
        <v>-40226.162947247707</v>
      </c>
      <c r="R547" s="546">
        <f t="shared" ca="1" si="529"/>
        <v>0</v>
      </c>
      <c r="S547" s="546">
        <v>0</v>
      </c>
      <c r="T547" s="546">
        <f>T437</f>
        <v>50000</v>
      </c>
    </row>
    <row r="548" spans="2:20" outlineLevel="1" x14ac:dyDescent="0.45">
      <c r="B548" s="191" t="s">
        <v>395</v>
      </c>
      <c r="L548" s="546">
        <f ca="1">L519</f>
        <v>2300000.02</v>
      </c>
      <c r="M548" s="546">
        <f t="shared" ref="M548:R548" ca="1" si="530">SUM(M473:M474,M516)</f>
        <v>-17250</v>
      </c>
      <c r="N548" s="546">
        <f t="shared" ca="1" si="530"/>
        <v>-23000</v>
      </c>
      <c r="O548" s="546">
        <f t="shared" ca="1" si="530"/>
        <v>-23000</v>
      </c>
      <c r="P548" s="546">
        <f t="shared" ca="1" si="530"/>
        <v>-23000</v>
      </c>
      <c r="Q548" s="546">
        <f t="shared" ca="1" si="530"/>
        <v>-116343.54389393027</v>
      </c>
      <c r="R548" s="546">
        <f t="shared" ca="1" si="530"/>
        <v>-286490.08202237292</v>
      </c>
      <c r="S548" s="546">
        <v>0</v>
      </c>
      <c r="T548" s="546">
        <f ca="1">T519</f>
        <v>2300000</v>
      </c>
    </row>
    <row r="549" spans="2:20" outlineLevel="1" x14ac:dyDescent="0.45">
      <c r="B549" s="191" t="s">
        <v>372</v>
      </c>
      <c r="L549" s="552">
        <f ca="1">L533</f>
        <v>300000.02</v>
      </c>
      <c r="M549" s="552">
        <f ca="1">SUM(M488:M489,M530)</f>
        <v>-2250</v>
      </c>
      <c r="N549" s="552">
        <f t="shared" ref="N549:R549" ca="1" si="531">SUM(N488:N489,N530)</f>
        <v>-3000</v>
      </c>
      <c r="O549" s="552">
        <f t="shared" ca="1" si="531"/>
        <v>-3000</v>
      </c>
      <c r="P549" s="552">
        <f t="shared" ca="1" si="531"/>
        <v>-3000</v>
      </c>
      <c r="Q549" s="552">
        <f t="shared" ca="1" si="531"/>
        <v>-3000</v>
      </c>
      <c r="R549" s="552">
        <f t="shared" ca="1" si="531"/>
        <v>-3000</v>
      </c>
      <c r="S549" s="552">
        <v>0</v>
      </c>
      <c r="T549" s="552">
        <f ca="1">T533</f>
        <v>300000</v>
      </c>
    </row>
    <row r="550" spans="2:20" outlineLevel="1" x14ac:dyDescent="0.45">
      <c r="B550" s="114" t="s">
        <v>396</v>
      </c>
      <c r="C550" s="125"/>
      <c r="D550" s="125"/>
      <c r="E550" s="125"/>
      <c r="F550" s="125"/>
      <c r="G550" s="125"/>
      <c r="L550" s="546">
        <f ca="1">SUM(L546:L549)</f>
        <v>2081207.04</v>
      </c>
      <c r="M550" s="546">
        <f t="shared" ref="M550:T550" ca="1" si="532">SUM(M546:M549)</f>
        <v>94773.98402056846</v>
      </c>
      <c r="N550" s="546">
        <f t="shared" ca="1" si="532"/>
        <v>13497.176509140801</v>
      </c>
      <c r="O550" s="546">
        <f t="shared" ca="1" si="532"/>
        <v>-54429.579630085354</v>
      </c>
      <c r="P550" s="546">
        <f t="shared" ca="1" si="532"/>
        <v>-161115.41795237618</v>
      </c>
      <c r="Q550" s="546">
        <f t="shared" ca="1" si="532"/>
        <v>-159569.70684117798</v>
      </c>
      <c r="R550" s="546">
        <f t="shared" ca="1" si="532"/>
        <v>-289490.08202237292</v>
      </c>
      <c r="S550" s="546">
        <f t="shared" si="532"/>
        <v>-23807</v>
      </c>
      <c r="T550" s="546">
        <f t="shared" ca="1" si="532"/>
        <v>2105014</v>
      </c>
    </row>
    <row r="551" spans="2:20" outlineLevel="1" x14ac:dyDescent="0.45">
      <c r="B551" s="129"/>
      <c r="L551" s="197"/>
      <c r="M551" s="197"/>
      <c r="N551" s="197"/>
      <c r="O551" s="197"/>
      <c r="P551" s="197"/>
      <c r="Q551" s="197"/>
      <c r="R551" s="197"/>
      <c r="S551" s="197"/>
    </row>
    <row r="552" spans="2:20" outlineLevel="1" x14ac:dyDescent="0.45">
      <c r="B552" s="114" t="s">
        <v>397</v>
      </c>
      <c r="L552" s="197"/>
      <c r="M552" s="197"/>
      <c r="N552" s="197"/>
      <c r="O552" s="197"/>
      <c r="P552" s="197"/>
      <c r="Q552" s="197"/>
      <c r="R552" s="197"/>
      <c r="S552" s="197"/>
    </row>
    <row r="553" spans="2:20" outlineLevel="1" x14ac:dyDescent="0.45">
      <c r="B553" s="191" t="s">
        <v>398</v>
      </c>
      <c r="L553" s="546">
        <f>L412</f>
        <v>0</v>
      </c>
      <c r="M553" s="546">
        <f t="shared" ref="M553:T553" si="533">M412</f>
        <v>0</v>
      </c>
      <c r="N553" s="546">
        <f t="shared" si="533"/>
        <v>0</v>
      </c>
      <c r="O553" s="546">
        <f t="shared" si="533"/>
        <v>0</v>
      </c>
      <c r="P553" s="546">
        <f t="shared" si="533"/>
        <v>0</v>
      </c>
      <c r="Q553" s="546">
        <f t="shared" si="533"/>
        <v>0</v>
      </c>
      <c r="R553" s="546">
        <f t="shared" si="533"/>
        <v>0</v>
      </c>
      <c r="S553" s="546">
        <f t="shared" si="533"/>
        <v>544986</v>
      </c>
      <c r="T553" s="546">
        <f t="shared" si="533"/>
        <v>0</v>
      </c>
    </row>
    <row r="554" spans="2:20" outlineLevel="1" x14ac:dyDescent="0.45">
      <c r="B554" s="191" t="s">
        <v>207</v>
      </c>
      <c r="C554" s="125"/>
      <c r="D554" s="125"/>
      <c r="E554" s="125"/>
      <c r="F554" s="125"/>
      <c r="L554" s="546">
        <f t="shared" ref="L554:T554" si="534">L437</f>
        <v>50000</v>
      </c>
      <c r="M554" s="546">
        <f t="shared" ca="1" si="534"/>
        <v>164273.98402056846</v>
      </c>
      <c r="N554" s="546">
        <f t="shared" ca="1" si="534"/>
        <v>203771.16052970925</v>
      </c>
      <c r="O554" s="546">
        <f t="shared" ca="1" si="534"/>
        <v>175341.58089962389</v>
      </c>
      <c r="P554" s="546">
        <f t="shared" ca="1" si="534"/>
        <v>40226.162947247707</v>
      </c>
      <c r="Q554" s="546">
        <f t="shared" ca="1" si="534"/>
        <v>0</v>
      </c>
      <c r="R554" s="546">
        <f t="shared" ca="1" si="534"/>
        <v>0</v>
      </c>
      <c r="S554" s="546">
        <f t="shared" si="534"/>
        <v>0</v>
      </c>
      <c r="T554" s="546">
        <f t="shared" si="534"/>
        <v>50000</v>
      </c>
    </row>
    <row r="555" spans="2:20" outlineLevel="1" x14ac:dyDescent="0.45">
      <c r="B555" s="191" t="s">
        <v>395</v>
      </c>
      <c r="L555" s="546">
        <f ca="1">L519</f>
        <v>2300000.02</v>
      </c>
      <c r="M555" s="546">
        <f t="shared" ref="M555:T555" ca="1" si="535">M519</f>
        <v>2282750</v>
      </c>
      <c r="N555" s="546">
        <f t="shared" ca="1" si="535"/>
        <v>2259750</v>
      </c>
      <c r="O555" s="546">
        <f t="shared" ca="1" si="535"/>
        <v>2236750</v>
      </c>
      <c r="P555" s="546">
        <f t="shared" ca="1" si="535"/>
        <v>2213750</v>
      </c>
      <c r="Q555" s="546">
        <f t="shared" ca="1" si="535"/>
        <v>2097406.4561060695</v>
      </c>
      <c r="R555" s="546">
        <f t="shared" ca="1" si="535"/>
        <v>1810916.3740836966</v>
      </c>
      <c r="S555" s="546">
        <f t="shared" si="535"/>
        <v>0</v>
      </c>
      <c r="T555" s="546">
        <f t="shared" ca="1" si="535"/>
        <v>2300000</v>
      </c>
    </row>
    <row r="556" spans="2:20" outlineLevel="1" x14ac:dyDescent="0.45">
      <c r="B556" s="191" t="s">
        <v>372</v>
      </c>
      <c r="L556" s="552">
        <f ca="1">L533</f>
        <v>300000.02</v>
      </c>
      <c r="M556" s="552">
        <f t="shared" ref="M556:T556" ca="1" si="536">M533</f>
        <v>297750</v>
      </c>
      <c r="N556" s="552">
        <f t="shared" ca="1" si="536"/>
        <v>294750</v>
      </c>
      <c r="O556" s="552">
        <f t="shared" ca="1" si="536"/>
        <v>291750</v>
      </c>
      <c r="P556" s="552">
        <f t="shared" ca="1" si="536"/>
        <v>288750</v>
      </c>
      <c r="Q556" s="552">
        <f t="shared" ca="1" si="536"/>
        <v>285750</v>
      </c>
      <c r="R556" s="552">
        <f t="shared" ca="1" si="536"/>
        <v>282750</v>
      </c>
      <c r="S556" s="552">
        <f t="shared" si="536"/>
        <v>0</v>
      </c>
      <c r="T556" s="552">
        <f t="shared" ca="1" si="536"/>
        <v>300000</v>
      </c>
    </row>
    <row r="557" spans="2:20" outlineLevel="1" x14ac:dyDescent="0.45">
      <c r="B557" s="114" t="s">
        <v>399</v>
      </c>
      <c r="L557" s="546">
        <f ca="1">SUM(L553:L556)</f>
        <v>2650000.04</v>
      </c>
      <c r="M557" s="546">
        <f t="shared" ref="M557:T557" ca="1" si="537">SUM(M553:M556)</f>
        <v>2744773.9840205684</v>
      </c>
      <c r="N557" s="546">
        <f t="shared" ca="1" si="537"/>
        <v>2758271.1605297094</v>
      </c>
      <c r="O557" s="546">
        <f t="shared" ca="1" si="537"/>
        <v>2703841.5808996237</v>
      </c>
      <c r="P557" s="546">
        <f t="shared" ca="1" si="537"/>
        <v>2542726.1629472477</v>
      </c>
      <c r="Q557" s="546">
        <f t="shared" ca="1" si="537"/>
        <v>2383156.4561060695</v>
      </c>
      <c r="R557" s="546">
        <f t="shared" ca="1" si="537"/>
        <v>2093666.3740836966</v>
      </c>
      <c r="S557" s="546">
        <f t="shared" si="537"/>
        <v>544986</v>
      </c>
      <c r="T557" s="546">
        <f t="shared" ca="1" si="537"/>
        <v>2650000</v>
      </c>
    </row>
    <row r="558" spans="2:20" outlineLevel="1" x14ac:dyDescent="0.45">
      <c r="B558" s="114"/>
      <c r="L558" s="134"/>
      <c r="M558" s="134"/>
      <c r="N558" s="134"/>
      <c r="O558" s="134"/>
      <c r="P558" s="134"/>
      <c r="Q558" s="134"/>
      <c r="R558" s="134"/>
      <c r="S558" s="134"/>
      <c r="T558" s="134"/>
    </row>
    <row r="559" spans="2:20" outlineLevel="1" x14ac:dyDescent="0.45">
      <c r="B559" s="114" t="s">
        <v>400</v>
      </c>
      <c r="L559" s="197"/>
      <c r="M559" s="197"/>
      <c r="N559" s="197"/>
      <c r="O559" s="197"/>
      <c r="P559" s="197"/>
      <c r="Q559" s="197"/>
      <c r="R559" s="197"/>
      <c r="S559" s="197"/>
    </row>
    <row r="560" spans="2:20" outlineLevel="1" x14ac:dyDescent="0.45">
      <c r="B560" s="191" t="s">
        <v>398</v>
      </c>
      <c r="L560" s="546">
        <f t="shared" ref="L560:T560" si="538">L415</f>
        <v>-16249.107460833335</v>
      </c>
      <c r="M560" s="546">
        <f t="shared" si="538"/>
        <v>0</v>
      </c>
      <c r="N560" s="546">
        <f t="shared" si="538"/>
        <v>0</v>
      </c>
      <c r="O560" s="546">
        <f t="shared" si="538"/>
        <v>0</v>
      </c>
      <c r="P560" s="546">
        <f t="shared" si="538"/>
        <v>0</v>
      </c>
      <c r="Q560" s="546">
        <f t="shared" si="538"/>
        <v>0</v>
      </c>
      <c r="R560" s="546">
        <f t="shared" si="538"/>
        <v>0</v>
      </c>
      <c r="S560" s="546">
        <f t="shared" si="538"/>
        <v>-16249.107460833335</v>
      </c>
      <c r="T560" s="546">
        <f t="shared" si="538"/>
        <v>0</v>
      </c>
    </row>
    <row r="561" spans="1:20" outlineLevel="1" x14ac:dyDescent="0.45">
      <c r="B561" s="191" t="s">
        <v>207</v>
      </c>
      <c r="L561" s="546">
        <f t="shared" ref="L561:T561" si="539">L442</f>
        <v>-1044.3055555555552</v>
      </c>
      <c r="M561" s="546">
        <f t="shared" ca="1" si="539"/>
        <v>-10747.625915165012</v>
      </c>
      <c r="N561" s="546">
        <f t="shared" ca="1" si="539"/>
        <v>-17966.73713979606</v>
      </c>
      <c r="O561" s="546">
        <f t="shared" ca="1" si="539"/>
        <v>-17998.377399357592</v>
      </c>
      <c r="P561" s="546">
        <f t="shared" ca="1" si="539"/>
        <v>-9944.8585828023442</v>
      </c>
      <c r="Q561" s="546">
        <f t="shared" ca="1" si="539"/>
        <v>-1801.7968820121371</v>
      </c>
      <c r="R561" s="546">
        <f t="shared" ca="1" si="539"/>
        <v>0</v>
      </c>
      <c r="S561" s="546">
        <f t="shared" si="539"/>
        <v>0</v>
      </c>
      <c r="T561" s="546">
        <f t="shared" si="539"/>
        <v>-1044.3055555555552</v>
      </c>
    </row>
    <row r="562" spans="1:20" outlineLevel="1" x14ac:dyDescent="0.45">
      <c r="B562" s="191" t="s">
        <v>395</v>
      </c>
      <c r="L562" s="546">
        <f t="shared" ref="L562:T562" ca="1" si="540">L478</f>
        <v>-48038.055555555547</v>
      </c>
      <c r="M562" s="546">
        <f t="shared" ca="1" si="540"/>
        <v>-229863.10208333333</v>
      </c>
      <c r="N562" s="546">
        <f t="shared" ca="1" si="540"/>
        <v>-221749.70833333334</v>
      </c>
      <c r="O562" s="546">
        <f t="shared" ca="1" si="540"/>
        <v>-213471.33750000002</v>
      </c>
      <c r="P562" s="546">
        <f t="shared" ca="1" si="540"/>
        <v>-205316.40000000002</v>
      </c>
      <c r="Q562" s="546">
        <f t="shared" ca="1" si="540"/>
        <v>-191779.27083333337</v>
      </c>
      <c r="R562" s="546">
        <f t="shared" ca="1" si="540"/>
        <v>-176050.50489535226</v>
      </c>
      <c r="S562" s="546">
        <f t="shared" si="540"/>
        <v>0</v>
      </c>
      <c r="T562" s="546">
        <f t="shared" ca="1" si="540"/>
        <v>-48038.055555555547</v>
      </c>
    </row>
    <row r="563" spans="1:20" outlineLevel="1" x14ac:dyDescent="0.45">
      <c r="B563" s="191" t="s">
        <v>372</v>
      </c>
      <c r="L563" s="552">
        <f t="shared" ref="L563:T563" ca="1" si="541">L493</f>
        <v>-6265.8333333333321</v>
      </c>
      <c r="M563" s="552">
        <f t="shared" ca="1" si="541"/>
        <v>-29982.143749999999</v>
      </c>
      <c r="N563" s="552">
        <f t="shared" ca="1" si="541"/>
        <v>-28923.875</v>
      </c>
      <c r="O563" s="552">
        <f t="shared" ca="1" si="541"/>
        <v>-27844.087500000001</v>
      </c>
      <c r="P563" s="552">
        <f t="shared" ca="1" si="541"/>
        <v>-26780.400000000001</v>
      </c>
      <c r="Q563" s="552">
        <f t="shared" ca="1" si="541"/>
        <v>-25014.687500000004</v>
      </c>
      <c r="R563" s="552">
        <f t="shared" ca="1" si="541"/>
        <v>-23990.7</v>
      </c>
      <c r="S563" s="552">
        <f t="shared" si="541"/>
        <v>0</v>
      </c>
      <c r="T563" s="552">
        <f t="shared" ca="1" si="541"/>
        <v>-6265.8333333333321</v>
      </c>
    </row>
    <row r="564" spans="1:20" outlineLevel="1" x14ac:dyDescent="0.45">
      <c r="B564" s="114" t="s">
        <v>401</v>
      </c>
      <c r="L564" s="546">
        <f ca="1">SUM(L560:L563)</f>
        <v>-71597.301905277767</v>
      </c>
      <c r="M564" s="546">
        <f t="shared" ref="M564:T564" ca="1" si="542">SUM(M560:M563)</f>
        <v>-270592.87174849835</v>
      </c>
      <c r="N564" s="546">
        <f t="shared" ca="1" si="542"/>
        <v>-268640.3204731294</v>
      </c>
      <c r="O564" s="546">
        <f t="shared" ca="1" si="542"/>
        <v>-259313.80239935761</v>
      </c>
      <c r="P564" s="546">
        <f t="shared" ca="1" si="542"/>
        <v>-242041.65858280237</v>
      </c>
      <c r="Q564" s="546">
        <f t="shared" ca="1" si="542"/>
        <v>-218595.7552153455</v>
      </c>
      <c r="R564" s="546">
        <f t="shared" ca="1" si="542"/>
        <v>-200041.20489535228</v>
      </c>
      <c r="S564" s="546">
        <f t="shared" si="542"/>
        <v>-16249.107460833335</v>
      </c>
      <c r="T564" s="546">
        <f t="shared" ca="1" si="542"/>
        <v>-55348.194444444438</v>
      </c>
    </row>
    <row r="565" spans="1:20" outlineLevel="1" x14ac:dyDescent="0.45">
      <c r="B565" s="114"/>
      <c r="L565" s="197"/>
      <c r="M565" s="197"/>
      <c r="N565" s="197"/>
      <c r="O565" s="197"/>
      <c r="P565" s="197"/>
      <c r="Q565" s="197"/>
      <c r="R565" s="197"/>
      <c r="S565" s="197"/>
    </row>
    <row r="566" spans="1:20" outlineLevel="1" x14ac:dyDescent="0.45">
      <c r="B566" s="114" t="s">
        <v>402</v>
      </c>
      <c r="L566" s="197"/>
      <c r="M566" s="197"/>
      <c r="N566" s="197"/>
      <c r="O566" s="197"/>
      <c r="P566" s="197"/>
      <c r="Q566" s="197"/>
      <c r="R566" s="197"/>
      <c r="S566" s="197"/>
    </row>
    <row r="567" spans="1:20" outlineLevel="1" x14ac:dyDescent="0.45">
      <c r="B567" s="191" t="s">
        <v>398</v>
      </c>
      <c r="L567" s="546">
        <v>0</v>
      </c>
      <c r="M567" s="546">
        <v>0</v>
      </c>
      <c r="N567" s="546">
        <v>0</v>
      </c>
      <c r="O567" s="546">
        <v>0</v>
      </c>
      <c r="P567" s="546">
        <v>0</v>
      </c>
      <c r="Q567" s="546">
        <v>0</v>
      </c>
      <c r="R567" s="546">
        <v>0</v>
      </c>
      <c r="S567" s="546">
        <v>0</v>
      </c>
      <c r="T567" s="546">
        <v>0</v>
      </c>
    </row>
    <row r="568" spans="1:20" outlineLevel="1" x14ac:dyDescent="0.45">
      <c r="B568" s="191" t="s">
        <v>207</v>
      </c>
      <c r="L568" s="546">
        <f t="shared" ref="L568:T568" si="543">L450</f>
        <v>-202.77777777777771</v>
      </c>
      <c r="M568" s="546">
        <f t="shared" ca="1" si="543"/>
        <v>-714.31503994857894</v>
      </c>
      <c r="N568" s="546">
        <f t="shared" ca="1" si="543"/>
        <v>-329.88713862430569</v>
      </c>
      <c r="O568" s="546">
        <f t="shared" ca="1" si="543"/>
        <v>-302.21814642666709</v>
      </c>
      <c r="P568" s="546">
        <f t="shared" ca="1" si="543"/>
        <v>-711.08064038282089</v>
      </c>
      <c r="Q568" s="546">
        <f t="shared" ca="1" si="543"/>
        <v>-1149.4345926318806</v>
      </c>
      <c r="R568" s="546">
        <f t="shared" ca="1" si="543"/>
        <v>-1249.9999999999998</v>
      </c>
      <c r="S568" s="546">
        <f t="shared" si="543"/>
        <v>0</v>
      </c>
      <c r="T568" s="546">
        <f t="shared" si="543"/>
        <v>-202.77777777777771</v>
      </c>
    </row>
    <row r="569" spans="1:20" outlineLevel="1" x14ac:dyDescent="0.45">
      <c r="B569" s="191" t="s">
        <v>395</v>
      </c>
      <c r="L569" s="546">
        <f t="shared" ref="L569:T569" ca="1" si="544">L517</f>
        <v>0</v>
      </c>
      <c r="M569" s="546">
        <f t="shared" ca="1" si="544"/>
        <v>0</v>
      </c>
      <c r="N569" s="546">
        <f t="shared" ca="1" si="544"/>
        <v>0</v>
      </c>
      <c r="O569" s="546">
        <f t="shared" ca="1" si="544"/>
        <v>0</v>
      </c>
      <c r="P569" s="546">
        <f t="shared" ca="1" si="544"/>
        <v>0</v>
      </c>
      <c r="Q569" s="546">
        <f t="shared" ca="1" si="544"/>
        <v>-1866.8708778786054</v>
      </c>
      <c r="R569" s="546">
        <f t="shared" ca="1" si="544"/>
        <v>-5269.8016404474583</v>
      </c>
      <c r="S569" s="546">
        <f t="shared" si="544"/>
        <v>0</v>
      </c>
      <c r="T569" s="546">
        <f t="shared" ca="1" si="544"/>
        <v>0</v>
      </c>
    </row>
    <row r="570" spans="1:20" outlineLevel="1" x14ac:dyDescent="0.45">
      <c r="B570" s="191" t="s">
        <v>372</v>
      </c>
      <c r="L570" s="552">
        <f t="shared" ref="L570:T570" ca="1" si="545">SUM(L531,L501)</f>
        <v>0</v>
      </c>
      <c r="M570" s="552">
        <f t="shared" ca="1" si="545"/>
        <v>-11.25</v>
      </c>
      <c r="N570" s="552">
        <f t="shared" ca="1" si="545"/>
        <v>-37.5</v>
      </c>
      <c r="O570" s="552">
        <f t="shared" ca="1" si="545"/>
        <v>-67.5</v>
      </c>
      <c r="P570" s="552">
        <f t="shared" ca="1" si="545"/>
        <v>-97.5</v>
      </c>
      <c r="Q570" s="552">
        <f t="shared" ca="1" si="545"/>
        <v>-127.5</v>
      </c>
      <c r="R570" s="552">
        <f t="shared" ca="1" si="545"/>
        <v>-157.5</v>
      </c>
      <c r="S570" s="552">
        <f t="shared" si="545"/>
        <v>0</v>
      </c>
      <c r="T570" s="552">
        <f t="shared" ca="1" si="545"/>
        <v>0</v>
      </c>
    </row>
    <row r="571" spans="1:20" outlineLevel="1" x14ac:dyDescent="0.45">
      <c r="B571" s="114" t="s">
        <v>74</v>
      </c>
      <c r="L571" s="546">
        <f ca="1">SUM(L567:L570)</f>
        <v>-202.77777777777771</v>
      </c>
      <c r="M571" s="546">
        <f t="shared" ref="M571:T571" ca="1" si="546">SUM(M567:M570)</f>
        <v>-725.56503994857894</v>
      </c>
      <c r="N571" s="546">
        <f t="shared" ca="1" si="546"/>
        <v>-367.38713862430569</v>
      </c>
      <c r="O571" s="546">
        <f t="shared" ca="1" si="546"/>
        <v>-369.71814642666709</v>
      </c>
      <c r="P571" s="546">
        <f t="shared" ca="1" si="546"/>
        <v>-808.58064038282089</v>
      </c>
      <c r="Q571" s="546">
        <f t="shared" ca="1" si="546"/>
        <v>-3143.805470510486</v>
      </c>
      <c r="R571" s="546">
        <f t="shared" ca="1" si="546"/>
        <v>-6677.3016404474583</v>
      </c>
      <c r="S571" s="546">
        <f t="shared" si="546"/>
        <v>0</v>
      </c>
      <c r="T571" s="546">
        <f t="shared" ca="1" si="546"/>
        <v>-202.77777777777771</v>
      </c>
    </row>
    <row r="572" spans="1:20" x14ac:dyDescent="0.45">
      <c r="B572" s="114"/>
    </row>
    <row r="573" spans="1:20" ht="15" customHeight="1" x14ac:dyDescent="0.45">
      <c r="A573" s="107" t="s">
        <v>18</v>
      </c>
      <c r="B573" s="108" t="s">
        <v>403</v>
      </c>
      <c r="C573" s="109"/>
      <c r="D573" s="109"/>
      <c r="E573" s="109"/>
      <c r="F573" s="109"/>
      <c r="G573" s="109"/>
      <c r="H573" s="109"/>
      <c r="I573" s="109"/>
      <c r="J573" s="109"/>
      <c r="K573" s="109"/>
      <c r="L573" s="109"/>
      <c r="M573" s="109"/>
      <c r="N573" s="109"/>
      <c r="O573" s="109"/>
      <c r="P573" s="109"/>
      <c r="Q573" s="109"/>
      <c r="R573" s="109"/>
      <c r="S573" s="109"/>
      <c r="T573" s="109"/>
    </row>
    <row r="574" spans="1:20" outlineLevel="1" x14ac:dyDescent="0.45">
      <c r="A574" s="111"/>
      <c r="B574" s="616" t="s">
        <v>21</v>
      </c>
      <c r="C574" s="616"/>
      <c r="D574" s="122"/>
      <c r="E574" s="122"/>
      <c r="K574" s="3"/>
      <c r="L574" s="3"/>
      <c r="M574" s="3"/>
      <c r="N574" s="3"/>
      <c r="O574" s="3"/>
      <c r="P574" s="3"/>
      <c r="Q574" s="3"/>
      <c r="R574" s="3"/>
      <c r="S574" s="615" t="s">
        <v>176</v>
      </c>
      <c r="T574" s="615"/>
    </row>
    <row r="575" spans="1:20" ht="14.65" outlineLevel="1" thickBot="1" x14ac:dyDescent="0.5">
      <c r="A575" s="111"/>
      <c r="B575" s="112"/>
      <c r="F575" s="110"/>
      <c r="K575" s="3"/>
      <c r="L575" s="101" t="s">
        <v>117</v>
      </c>
      <c r="M575" s="102">
        <v>2025</v>
      </c>
      <c r="N575" s="102">
        <f>M575+1</f>
        <v>2026</v>
      </c>
      <c r="O575" s="102">
        <f t="shared" ref="O575" si="547">N575+1</f>
        <v>2027</v>
      </c>
      <c r="P575" s="102">
        <f t="shared" ref="P575" si="548">O575+1</f>
        <v>2028</v>
      </c>
      <c r="Q575" s="102">
        <f>P575+1</f>
        <v>2029</v>
      </c>
      <c r="R575" s="102">
        <f>Q575+1</f>
        <v>2030</v>
      </c>
      <c r="S575" s="284">
        <v>45582</v>
      </c>
      <c r="T575" s="284">
        <v>45657</v>
      </c>
    </row>
    <row r="576" spans="1:20" outlineLevel="1" x14ac:dyDescent="0.45">
      <c r="A576" s="111"/>
      <c r="B576" s="111"/>
      <c r="K576" s="64" t="s">
        <v>119</v>
      </c>
      <c r="L576" s="350">
        <f t="shared" ref="L576:T576" si="549">L540</f>
        <v>45657</v>
      </c>
      <c r="M576" s="350">
        <f t="shared" si="549"/>
        <v>46022</v>
      </c>
      <c r="N576" s="350">
        <f t="shared" si="549"/>
        <v>46387</v>
      </c>
      <c r="O576" s="350">
        <f t="shared" si="549"/>
        <v>46752</v>
      </c>
      <c r="P576" s="350">
        <f t="shared" si="549"/>
        <v>47118</v>
      </c>
      <c r="Q576" s="350">
        <f t="shared" si="549"/>
        <v>47483</v>
      </c>
      <c r="R576" s="350">
        <f t="shared" si="549"/>
        <v>47848</v>
      </c>
      <c r="S576" s="350">
        <f t="shared" si="549"/>
        <v>45582</v>
      </c>
      <c r="T576" s="350">
        <f t="shared" si="549"/>
        <v>45657</v>
      </c>
    </row>
    <row r="577" spans="1:20" outlineLevel="1" x14ac:dyDescent="0.45">
      <c r="A577" s="111"/>
      <c r="B577" s="116"/>
      <c r="K577" s="64" t="s">
        <v>120</v>
      </c>
      <c r="L577" s="351">
        <f t="shared" ref="L577:T577" si="550">L541</f>
        <v>365</v>
      </c>
      <c r="M577" s="351">
        <f t="shared" si="550"/>
        <v>365</v>
      </c>
      <c r="N577" s="351">
        <f t="shared" si="550"/>
        <v>365</v>
      </c>
      <c r="O577" s="351">
        <f t="shared" si="550"/>
        <v>365</v>
      </c>
      <c r="P577" s="351">
        <f t="shared" si="550"/>
        <v>365</v>
      </c>
      <c r="Q577" s="351">
        <f t="shared" si="550"/>
        <v>365</v>
      </c>
      <c r="R577" s="351">
        <f t="shared" si="550"/>
        <v>365</v>
      </c>
      <c r="S577" s="351">
        <f t="shared" si="550"/>
        <v>291</v>
      </c>
      <c r="T577" s="351">
        <f t="shared" si="550"/>
        <v>75</v>
      </c>
    </row>
    <row r="578" spans="1:20" outlineLevel="1" x14ac:dyDescent="0.45">
      <c r="A578" s="111"/>
      <c r="B578" s="116"/>
      <c r="K578" s="64" t="s">
        <v>122</v>
      </c>
      <c r="L578" s="591">
        <f t="shared" ref="L578:T578" si="551">L542</f>
        <v>1</v>
      </c>
      <c r="M578" s="591">
        <f t="shared" si="551"/>
        <v>1</v>
      </c>
      <c r="N578" s="591">
        <f t="shared" si="551"/>
        <v>1</v>
      </c>
      <c r="O578" s="591">
        <f t="shared" si="551"/>
        <v>1</v>
      </c>
      <c r="P578" s="591">
        <f t="shared" si="551"/>
        <v>1</v>
      </c>
      <c r="Q578" s="591">
        <f t="shared" si="551"/>
        <v>1</v>
      </c>
      <c r="R578" s="591">
        <f t="shared" si="551"/>
        <v>1</v>
      </c>
      <c r="S578" s="591">
        <f t="shared" si="551"/>
        <v>0.79722222222222228</v>
      </c>
      <c r="T578" s="591">
        <f t="shared" si="551"/>
        <v>0.20277777777777772</v>
      </c>
    </row>
    <row r="579" spans="1:20" outlineLevel="1" x14ac:dyDescent="0.45">
      <c r="A579" s="111"/>
      <c r="B579" s="116"/>
      <c r="K579" s="64" t="s">
        <v>123</v>
      </c>
      <c r="L579" s="350" t="str">
        <f t="shared" ref="L579:T579" si="552">L543</f>
        <v>USD, $000</v>
      </c>
      <c r="M579" s="350" t="str">
        <f t="shared" si="552"/>
        <v>USD, $000</v>
      </c>
      <c r="N579" s="350" t="str">
        <f t="shared" si="552"/>
        <v>USD, $000</v>
      </c>
      <c r="O579" s="350" t="str">
        <f t="shared" si="552"/>
        <v>USD, $000</v>
      </c>
      <c r="P579" s="350" t="str">
        <f t="shared" si="552"/>
        <v>USD, $000</v>
      </c>
      <c r="Q579" s="350" t="str">
        <f t="shared" si="552"/>
        <v>USD, $000</v>
      </c>
      <c r="R579" s="350" t="str">
        <f t="shared" si="552"/>
        <v>USD, $000</v>
      </c>
      <c r="S579" s="350" t="str">
        <f t="shared" si="552"/>
        <v>USD, $000</v>
      </c>
      <c r="T579" s="350" t="str">
        <f t="shared" si="552"/>
        <v>USD, $000</v>
      </c>
    </row>
    <row r="580" spans="1:20" outlineLevel="1" x14ac:dyDescent="0.45">
      <c r="B580" s="112"/>
      <c r="L580" s="195"/>
      <c r="M580" s="195"/>
      <c r="N580" s="195"/>
      <c r="O580" s="195"/>
      <c r="P580" s="195"/>
      <c r="Q580" s="195"/>
      <c r="R580" s="195"/>
    </row>
    <row r="581" spans="1:20" outlineLevel="1" x14ac:dyDescent="0.45">
      <c r="B581" s="114" t="s">
        <v>1374</v>
      </c>
    </row>
    <row r="582" spans="1:20" outlineLevel="1" x14ac:dyDescent="0.45">
      <c r="B582" s="110" t="s">
        <v>404</v>
      </c>
      <c r="L582" s="546">
        <f>T582</f>
        <v>0</v>
      </c>
      <c r="M582" s="546">
        <f ca="1">L586</f>
        <v>-2290991.7518606093</v>
      </c>
      <c r="N582" s="546">
        <f t="shared" ref="N582:R582" ca="1" si="553">M586</f>
        <v>-2290991.7518606093</v>
      </c>
      <c r="O582" s="546">
        <f t="shared" ca="1" si="553"/>
        <v>-2290991.7518606093</v>
      </c>
      <c r="P582" s="546">
        <f t="shared" ca="1" si="553"/>
        <v>-2290991.7518606093</v>
      </c>
      <c r="Q582" s="546">
        <f t="shared" ca="1" si="553"/>
        <v>-2290991.7518606093</v>
      </c>
      <c r="R582" s="546">
        <f t="shared" ca="1" si="553"/>
        <v>-2290991.7518606093</v>
      </c>
      <c r="S582" s="546">
        <f>K91</f>
        <v>0</v>
      </c>
      <c r="T582" s="546">
        <f>S586</f>
        <v>0</v>
      </c>
    </row>
    <row r="583" spans="1:20" outlineLevel="1" x14ac:dyDescent="0.45">
      <c r="B583" s="191" t="s">
        <v>1372</v>
      </c>
      <c r="L583" s="546">
        <f t="shared" ref="L583:L584" si="554">T583</f>
        <v>-7000202.0277200006</v>
      </c>
      <c r="M583" s="546">
        <v>0</v>
      </c>
      <c r="N583" s="546">
        <v>0</v>
      </c>
      <c r="O583" s="546">
        <v>0</v>
      </c>
      <c r="P583" s="546">
        <v>0</v>
      </c>
      <c r="Q583" s="546">
        <v>0</v>
      </c>
      <c r="R583" s="546">
        <v>0</v>
      </c>
      <c r="S583" s="546">
        <v>0</v>
      </c>
      <c r="T583" s="546">
        <f>T135</f>
        <v>-7000202.0277200006</v>
      </c>
    </row>
    <row r="584" spans="1:20" outlineLevel="1" x14ac:dyDescent="0.45">
      <c r="B584" s="191" t="s">
        <v>1371</v>
      </c>
      <c r="L584" s="546">
        <f t="shared" ca="1" si="554"/>
        <v>4709210.2758593913</v>
      </c>
      <c r="M584" s="546">
        <v>0</v>
      </c>
      <c r="N584" s="546">
        <v>0</v>
      </c>
      <c r="O584" s="546">
        <v>0</v>
      </c>
      <c r="P584" s="546">
        <v>0</v>
      </c>
      <c r="Q584" s="546">
        <v>0</v>
      </c>
      <c r="R584" s="546">
        <v>0</v>
      </c>
      <c r="S584" s="546">
        <v>0</v>
      </c>
      <c r="T584" s="546">
        <f ca="1">T146</f>
        <v>4709210.2758593913</v>
      </c>
    </row>
    <row r="585" spans="1:20" outlineLevel="1" x14ac:dyDescent="0.45">
      <c r="B585" s="191" t="s">
        <v>405</v>
      </c>
      <c r="L585" s="552">
        <f>T585</f>
        <v>0</v>
      </c>
      <c r="M585" s="552">
        <f>'Key Inputs and Drivers'!M110</f>
        <v>0</v>
      </c>
      <c r="N585" s="552">
        <f>'Key Inputs and Drivers'!N110</f>
        <v>0</v>
      </c>
      <c r="O585" s="552">
        <f>'Key Inputs and Drivers'!O110</f>
        <v>0</v>
      </c>
      <c r="P585" s="552">
        <f>'Key Inputs and Drivers'!P110</f>
        <v>0</v>
      </c>
      <c r="Q585" s="552">
        <f>'Key Inputs and Drivers'!Q110</f>
        <v>0</v>
      </c>
      <c r="R585" s="552">
        <f>'Key Inputs and Drivers'!R110</f>
        <v>0</v>
      </c>
      <c r="S585" s="552">
        <v>0</v>
      </c>
      <c r="T585" s="552">
        <f>'Key Inputs and Drivers'!$L$110</f>
        <v>0</v>
      </c>
    </row>
    <row r="586" spans="1:20" outlineLevel="1" x14ac:dyDescent="0.45">
      <c r="B586" s="110" t="s">
        <v>406</v>
      </c>
      <c r="L586" s="546">
        <f ca="1">SUM(L582:L585)</f>
        <v>-2290991.7518606093</v>
      </c>
      <c r="M586" s="546">
        <f t="shared" ref="M586:R586" ca="1" si="555">SUM(M582:M585)</f>
        <v>-2290991.7518606093</v>
      </c>
      <c r="N586" s="546">
        <f t="shared" ca="1" si="555"/>
        <v>-2290991.7518606093</v>
      </c>
      <c r="O586" s="546">
        <f t="shared" ca="1" si="555"/>
        <v>-2290991.7518606093</v>
      </c>
      <c r="P586" s="546">
        <f t="shared" ca="1" si="555"/>
        <v>-2290991.7518606093</v>
      </c>
      <c r="Q586" s="546">
        <f t="shared" ca="1" si="555"/>
        <v>-2290991.7518606093</v>
      </c>
      <c r="R586" s="546">
        <f t="shared" ca="1" si="555"/>
        <v>-2290991.7518606093</v>
      </c>
      <c r="S586" s="546">
        <f>SUM(S582:S585)</f>
        <v>0</v>
      </c>
      <c r="T586" s="546">
        <f ca="1">SUM(T582:T585)</f>
        <v>-2290991.7518606093</v>
      </c>
    </row>
    <row r="587" spans="1:20" outlineLevel="1" x14ac:dyDescent="0.45"/>
    <row r="588" spans="1:20" outlineLevel="1" x14ac:dyDescent="0.45">
      <c r="B588" s="114" t="s">
        <v>407</v>
      </c>
    </row>
    <row r="589" spans="1:20" outlineLevel="1" x14ac:dyDescent="0.45">
      <c r="B589" s="110" t="s">
        <v>404</v>
      </c>
      <c r="L589" s="546">
        <f>K92</f>
        <v>-1184157</v>
      </c>
      <c r="M589" s="546">
        <f ca="1">L592</f>
        <v>-1276685.6722078619</v>
      </c>
      <c r="N589" s="546">
        <f t="shared" ref="N589:R589" ca="1" si="556">M592</f>
        <v>-1411254.26238681</v>
      </c>
      <c r="O589" s="546">
        <f t="shared" ca="1" si="556"/>
        <v>-1490148.0260000725</v>
      </c>
      <c r="P589" s="546">
        <f t="shared" ca="1" si="556"/>
        <v>-1492696.296093259</v>
      </c>
      <c r="Q589" s="546">
        <f t="shared" ca="1" si="556"/>
        <v>-1394963.2774743307</v>
      </c>
      <c r="R589" s="546">
        <f t="shared" ca="1" si="556"/>
        <v>-1172095.6199941467</v>
      </c>
      <c r="S589" s="546">
        <f>K92</f>
        <v>-1184157</v>
      </c>
      <c r="T589" s="546">
        <f ca="1">S592</f>
        <v>-1133059.1071402866</v>
      </c>
    </row>
    <row r="590" spans="1:20" outlineLevel="1" x14ac:dyDescent="0.45">
      <c r="B590" s="191" t="s">
        <v>1369</v>
      </c>
      <c r="L590" s="546">
        <f t="shared" ref="L590:T590" ca="1" si="557">L29</f>
        <v>-92528.672207861993</v>
      </c>
      <c r="M590" s="546">
        <f t="shared" ca="1" si="557"/>
        <v>-134568.59017894819</v>
      </c>
      <c r="N590" s="546">
        <f t="shared" ca="1" si="557"/>
        <v>-78893.763613262345</v>
      </c>
      <c r="O590" s="546">
        <f t="shared" ca="1" si="557"/>
        <v>-2548.270093186477</v>
      </c>
      <c r="P590" s="546">
        <f t="shared" ca="1" si="557"/>
        <v>97733.018618928356</v>
      </c>
      <c r="Q590" s="546">
        <f t="shared" ca="1" si="557"/>
        <v>222867.6574801839</v>
      </c>
      <c r="R590" s="546">
        <f t="shared" ca="1" si="557"/>
        <v>401688.17443038383</v>
      </c>
      <c r="S590" s="546">
        <f t="shared" ca="1" si="557"/>
        <v>51097.892859713378</v>
      </c>
      <c r="T590" s="546">
        <f t="shared" ca="1" si="557"/>
        <v>-143626.56506757549</v>
      </c>
    </row>
    <row r="591" spans="1:20" outlineLevel="1" x14ac:dyDescent="0.45">
      <c r="B591" s="191" t="s">
        <v>1370</v>
      </c>
      <c r="L591" s="552">
        <f t="shared" ref="L591" si="558">T591</f>
        <v>0</v>
      </c>
      <c r="M591" s="552">
        <f>'Key Inputs and Drivers'!M112</f>
        <v>0</v>
      </c>
      <c r="N591" s="552">
        <f>'Key Inputs and Drivers'!N112</f>
        <v>0</v>
      </c>
      <c r="O591" s="552">
        <f>'Key Inputs and Drivers'!O112</f>
        <v>0</v>
      </c>
      <c r="P591" s="552">
        <f>'Key Inputs and Drivers'!P112</f>
        <v>0</v>
      </c>
      <c r="Q591" s="552">
        <f>'Key Inputs and Drivers'!Q112</f>
        <v>0</v>
      </c>
      <c r="R591" s="552">
        <f>'Key Inputs and Drivers'!R112</f>
        <v>0</v>
      </c>
      <c r="S591" s="552">
        <v>0</v>
      </c>
      <c r="T591" s="552">
        <f>'Key Inputs and Drivers'!$L$112</f>
        <v>0</v>
      </c>
    </row>
    <row r="592" spans="1:20" outlineLevel="1" x14ac:dyDescent="0.45">
      <c r="B592" s="114" t="s">
        <v>408</v>
      </c>
      <c r="L592" s="546">
        <f t="shared" ref="L592:T592" ca="1" si="559">SUM(L589:L591)</f>
        <v>-1276685.6722078619</v>
      </c>
      <c r="M592" s="546">
        <f t="shared" ca="1" si="559"/>
        <v>-1411254.26238681</v>
      </c>
      <c r="N592" s="546">
        <f t="shared" ca="1" si="559"/>
        <v>-1490148.0260000725</v>
      </c>
      <c r="O592" s="546">
        <f t="shared" ca="1" si="559"/>
        <v>-1492696.296093259</v>
      </c>
      <c r="P592" s="546">
        <f t="shared" ca="1" si="559"/>
        <v>-1394963.2774743307</v>
      </c>
      <c r="Q592" s="546">
        <f t="shared" ca="1" si="559"/>
        <v>-1172095.6199941467</v>
      </c>
      <c r="R592" s="546">
        <f t="shared" ca="1" si="559"/>
        <v>-770407.44556376291</v>
      </c>
      <c r="S592" s="546">
        <f t="shared" ca="1" si="559"/>
        <v>-1133059.1071402866</v>
      </c>
      <c r="T592" s="546">
        <f t="shared" ca="1" si="559"/>
        <v>-1276685.6722078621</v>
      </c>
    </row>
    <row r="594" spans="1:20" ht="15" customHeight="1" x14ac:dyDescent="0.45">
      <c r="A594" s="107" t="s">
        <v>18</v>
      </c>
      <c r="B594" s="108" t="s">
        <v>409</v>
      </c>
      <c r="C594" s="109"/>
      <c r="D594" s="109"/>
      <c r="E594" s="109"/>
      <c r="F594" s="109"/>
      <c r="G594" s="109"/>
      <c r="H594" s="109"/>
      <c r="I594" s="109"/>
      <c r="J594" s="109"/>
      <c r="K594" s="109"/>
      <c r="L594" s="109"/>
      <c r="M594" s="109"/>
      <c r="N594" s="109"/>
      <c r="O594" s="109"/>
      <c r="P594" s="109"/>
      <c r="Q594" s="109"/>
      <c r="R594" s="109"/>
      <c r="S594" s="109"/>
      <c r="T594" s="109"/>
    </row>
    <row r="595" spans="1:20" outlineLevel="1" x14ac:dyDescent="0.45">
      <c r="A595" s="111"/>
      <c r="B595" s="616" t="s">
        <v>21</v>
      </c>
      <c r="C595" s="616"/>
      <c r="D595" s="122"/>
      <c r="E595" s="122"/>
    </row>
    <row r="596" spans="1:20" ht="14.65" outlineLevel="1" thickBot="1" x14ac:dyDescent="0.5">
      <c r="A596" s="111"/>
      <c r="B596" s="112"/>
      <c r="F596" s="110"/>
      <c r="K596" s="113" t="s">
        <v>410</v>
      </c>
      <c r="L596" s="113" t="s">
        <v>117</v>
      </c>
      <c r="M596" s="102">
        <v>2025</v>
      </c>
      <c r="N596" s="102">
        <f>M596+1</f>
        <v>2026</v>
      </c>
      <c r="O596" s="102">
        <f t="shared" ref="O596" si="560">N596+1</f>
        <v>2027</v>
      </c>
      <c r="P596" s="102">
        <f t="shared" ref="P596" si="561">O596+1</f>
        <v>2028</v>
      </c>
      <c r="Q596" s="102">
        <f>P596+1</f>
        <v>2029</v>
      </c>
      <c r="R596" s="102">
        <f>Q596+1</f>
        <v>2030</v>
      </c>
    </row>
    <row r="597" spans="1:20" outlineLevel="1" x14ac:dyDescent="0.45">
      <c r="A597" s="111"/>
      <c r="B597" s="111"/>
      <c r="J597" s="125" t="s">
        <v>119</v>
      </c>
      <c r="K597" s="425">
        <v>45643</v>
      </c>
      <c r="L597" s="425">
        <v>45657</v>
      </c>
      <c r="M597" s="425">
        <v>46022</v>
      </c>
      <c r="N597" s="425">
        <v>46387</v>
      </c>
      <c r="O597" s="425">
        <v>46752</v>
      </c>
      <c r="P597" s="425">
        <v>47118</v>
      </c>
      <c r="Q597" s="425">
        <v>47483</v>
      </c>
      <c r="R597" s="425">
        <v>47848</v>
      </c>
    </row>
    <row r="598" spans="1:20" outlineLevel="1" x14ac:dyDescent="0.45">
      <c r="A598" s="111"/>
      <c r="B598" s="116"/>
      <c r="J598" s="125" t="s">
        <v>123</v>
      </c>
      <c r="K598" s="518" t="s">
        <v>124</v>
      </c>
      <c r="L598" s="518" t="s">
        <v>124</v>
      </c>
      <c r="M598" s="518" t="s">
        <v>124</v>
      </c>
      <c r="N598" s="518" t="s">
        <v>124</v>
      </c>
      <c r="O598" s="518" t="s">
        <v>124</v>
      </c>
      <c r="P598" s="518" t="s">
        <v>124</v>
      </c>
      <c r="Q598" s="518" t="s">
        <v>124</v>
      </c>
      <c r="R598" s="518" t="s">
        <v>124</v>
      </c>
    </row>
    <row r="599" spans="1:20" outlineLevel="1" x14ac:dyDescent="0.45"/>
    <row r="600" spans="1:20" outlineLevel="1" x14ac:dyDescent="0.45">
      <c r="B600" s="114" t="s">
        <v>411</v>
      </c>
    </row>
    <row r="601" spans="1:20" outlineLevel="1" x14ac:dyDescent="0.45">
      <c r="B601" s="191" t="s">
        <v>412</v>
      </c>
      <c r="L601" s="546">
        <f t="shared" ref="L601:R601" si="562">L32</f>
        <v>133242.17113718399</v>
      </c>
      <c r="M601" s="546">
        <f t="shared" si="562"/>
        <v>199605.6130536134</v>
      </c>
      <c r="N601" s="546">
        <f t="shared" si="562"/>
        <v>253418.55625622204</v>
      </c>
      <c r="O601" s="546">
        <f t="shared" si="562"/>
        <v>315449.79181889235</v>
      </c>
      <c r="P601" s="546">
        <f t="shared" si="562"/>
        <v>414114.79347364936</v>
      </c>
      <c r="Q601" s="546">
        <f t="shared" si="562"/>
        <v>523649.14470364433</v>
      </c>
      <c r="R601" s="546">
        <f t="shared" si="562"/>
        <v>711313.52959640371</v>
      </c>
    </row>
    <row r="602" spans="1:20" outlineLevel="1" x14ac:dyDescent="0.45">
      <c r="B602" s="191" t="s">
        <v>413</v>
      </c>
      <c r="L602" s="536">
        <f ca="1">'Transaction Details'!$C$7</f>
        <v>21.549951084648498</v>
      </c>
      <c r="M602" s="536">
        <f ca="1">'Transaction Details'!$C$7</f>
        <v>21.549951084648498</v>
      </c>
      <c r="N602" s="536">
        <f ca="1">'Transaction Details'!$C$7</f>
        <v>21.549951084648498</v>
      </c>
      <c r="O602" s="536">
        <f ca="1">'Transaction Details'!$C$7</f>
        <v>21.549951084648498</v>
      </c>
      <c r="P602" s="536">
        <f ca="1">'Transaction Details'!$C$7</f>
        <v>21.549951084648498</v>
      </c>
      <c r="Q602" s="536">
        <f ca="1">'Transaction Details'!$C$7</f>
        <v>21.549951084648498</v>
      </c>
      <c r="R602" s="536">
        <f ca="1">'Transaction Details'!$C$7</f>
        <v>21.549951084648498</v>
      </c>
    </row>
    <row r="603" spans="1:20" outlineLevel="1" x14ac:dyDescent="0.45">
      <c r="B603" s="114" t="s">
        <v>414</v>
      </c>
      <c r="L603" s="546">
        <f t="shared" ref="L603:R603" ca="1" si="563" xml:space="preserve"> L602*L601</f>
        <v>2871362.2704186789</v>
      </c>
      <c r="M603" s="546">
        <f t="shared" ca="1" si="563"/>
        <v>4301491.1975266449</v>
      </c>
      <c r="N603" s="546">
        <f t="shared" ca="1" si="563"/>
        <v>5461157.4912638282</v>
      </c>
      <c r="O603" s="546">
        <f t="shared" ca="1" si="563"/>
        <v>6797927.583359682</v>
      </c>
      <c r="P603" s="546">
        <f t="shared" ca="1" si="563"/>
        <v>8924153.5427864585</v>
      </c>
      <c r="Q603" s="546">
        <f t="shared" ca="1" si="563"/>
        <v>11284613.453881558</v>
      </c>
      <c r="R603" s="546">
        <f t="shared" ca="1" si="563"/>
        <v>15328771.768651173</v>
      </c>
    </row>
    <row r="604" spans="1:20" outlineLevel="1" x14ac:dyDescent="0.45">
      <c r="B604" s="114"/>
    </row>
    <row r="605" spans="1:20" outlineLevel="1" x14ac:dyDescent="0.45">
      <c r="B605" s="114" t="s">
        <v>415</v>
      </c>
    </row>
    <row r="606" spans="1:20" outlineLevel="1" x14ac:dyDescent="0.45">
      <c r="B606" s="191" t="s">
        <v>416</v>
      </c>
      <c r="L606" s="546">
        <f t="shared" ref="L606:R606" ca="1" si="564">L557</f>
        <v>2650000.04</v>
      </c>
      <c r="M606" s="546">
        <f t="shared" ca="1" si="564"/>
        <v>2744773.9840205684</v>
      </c>
      <c r="N606" s="546">
        <f t="shared" ca="1" si="564"/>
        <v>2758271.1605297094</v>
      </c>
      <c r="O606" s="546">
        <f t="shared" ca="1" si="564"/>
        <v>2703841.5808996237</v>
      </c>
      <c r="P606" s="546">
        <f t="shared" ca="1" si="564"/>
        <v>2542726.1629472477</v>
      </c>
      <c r="Q606" s="546">
        <f t="shared" ca="1" si="564"/>
        <v>2383156.4561060695</v>
      </c>
      <c r="R606" s="546">
        <f t="shared" ca="1" si="564"/>
        <v>2093666.3740836966</v>
      </c>
    </row>
    <row r="607" spans="1:20" outlineLevel="1" x14ac:dyDescent="0.45">
      <c r="B607" s="191" t="s">
        <v>417</v>
      </c>
      <c r="L607" s="552">
        <f t="shared" ref="L607:R607" ca="1" si="565">-L45</f>
        <v>-12353.438354750804</v>
      </c>
      <c r="M607" s="552">
        <f t="shared" ca="1" si="565"/>
        <v>-38778</v>
      </c>
      <c r="N607" s="552">
        <f t="shared" ca="1" si="565"/>
        <v>-38778</v>
      </c>
      <c r="O607" s="552">
        <f t="shared" ca="1" si="565"/>
        <v>-38778</v>
      </c>
      <c r="P607" s="552">
        <f t="shared" ca="1" si="565"/>
        <v>-38778</v>
      </c>
      <c r="Q607" s="552">
        <f t="shared" ca="1" si="565"/>
        <v>-158855.28564968749</v>
      </c>
      <c r="R607" s="552">
        <f t="shared" ca="1" si="565"/>
        <v>-335807.68530326779</v>
      </c>
    </row>
    <row r="608" spans="1:20" outlineLevel="1" x14ac:dyDescent="0.45">
      <c r="B608" s="114" t="s">
        <v>418</v>
      </c>
      <c r="L608" s="546">
        <f ca="1">SUM(L606:L607)</f>
        <v>2637646.6016452494</v>
      </c>
      <c r="M608" s="546">
        <f ca="1">SUM(M606:M607)</f>
        <v>2705995.9840205684</v>
      </c>
      <c r="N608" s="546">
        <f t="shared" ref="N608:R608" ca="1" si="566">SUM(N606:N607)</f>
        <v>2719493.1605297094</v>
      </c>
      <c r="O608" s="546">
        <f t="shared" ca="1" si="566"/>
        <v>2665063.5808996237</v>
      </c>
      <c r="P608" s="546">
        <f t="shared" ca="1" si="566"/>
        <v>2503948.1629472477</v>
      </c>
      <c r="Q608" s="546">
        <f t="shared" ca="1" si="566"/>
        <v>2224301.170456382</v>
      </c>
      <c r="R608" s="546">
        <f t="shared" ca="1" si="566"/>
        <v>1757858.6887804288</v>
      </c>
    </row>
    <row r="609" spans="2:18" outlineLevel="1" x14ac:dyDescent="0.45"/>
    <row r="610" spans="2:18" outlineLevel="1" x14ac:dyDescent="0.45">
      <c r="B610" s="114" t="s">
        <v>419</v>
      </c>
    </row>
    <row r="611" spans="2:18" outlineLevel="1" x14ac:dyDescent="0.45">
      <c r="B611" s="214" t="s">
        <v>420</v>
      </c>
      <c r="L611" s="546">
        <f ca="1">L603</f>
        <v>2871362.2704186789</v>
      </c>
      <c r="M611" s="546">
        <f t="shared" ref="M611:R611" ca="1" si="567">M603</f>
        <v>4301491.1975266449</v>
      </c>
      <c r="N611" s="546">
        <f t="shared" ca="1" si="567"/>
        <v>5461157.4912638282</v>
      </c>
      <c r="O611" s="546">
        <f t="shared" ca="1" si="567"/>
        <v>6797927.583359682</v>
      </c>
      <c r="P611" s="546">
        <f t="shared" ca="1" si="567"/>
        <v>8924153.5427864585</v>
      </c>
      <c r="Q611" s="546">
        <f t="shared" ca="1" si="567"/>
        <v>11284613.453881558</v>
      </c>
      <c r="R611" s="546">
        <f t="shared" ca="1" si="567"/>
        <v>15328771.768651173</v>
      </c>
    </row>
    <row r="612" spans="2:18" outlineLevel="1" x14ac:dyDescent="0.45">
      <c r="B612" s="214" t="s">
        <v>421</v>
      </c>
      <c r="L612" s="552">
        <f ca="1">-L608</f>
        <v>-2637646.6016452494</v>
      </c>
      <c r="M612" s="552">
        <f t="shared" ref="M612:R612" ca="1" si="568">-M608</f>
        <v>-2705995.9840205684</v>
      </c>
      <c r="N612" s="552">
        <f t="shared" ca="1" si="568"/>
        <v>-2719493.1605297094</v>
      </c>
      <c r="O612" s="552">
        <f t="shared" ca="1" si="568"/>
        <v>-2665063.5808996237</v>
      </c>
      <c r="P612" s="552">
        <f t="shared" ca="1" si="568"/>
        <v>-2503948.1629472477</v>
      </c>
      <c r="Q612" s="552">
        <f t="shared" ca="1" si="568"/>
        <v>-2224301.170456382</v>
      </c>
      <c r="R612" s="552">
        <f t="shared" ca="1" si="568"/>
        <v>-1757858.6887804288</v>
      </c>
    </row>
    <row r="613" spans="2:18" outlineLevel="1" x14ac:dyDescent="0.45">
      <c r="B613" s="114" t="s">
        <v>422</v>
      </c>
      <c r="L613" s="546">
        <f t="shared" ref="L613:R613" ca="1" si="569">SUM(L611:L612)</f>
        <v>233715.66877342947</v>
      </c>
      <c r="M613" s="546">
        <f t="shared" ca="1" si="569"/>
        <v>1595495.2135060765</v>
      </c>
      <c r="N613" s="546">
        <f t="shared" ca="1" si="569"/>
        <v>2741664.3307341188</v>
      </c>
      <c r="O613" s="546">
        <f t="shared" ca="1" si="569"/>
        <v>4132864.0024600583</v>
      </c>
      <c r="P613" s="546">
        <f t="shared" ca="1" si="569"/>
        <v>6420205.3798392108</v>
      </c>
      <c r="Q613" s="546">
        <f t="shared" ca="1" si="569"/>
        <v>9060312.2834251765</v>
      </c>
      <c r="R613" s="546">
        <f t="shared" ca="1" si="569"/>
        <v>13570913.079870744</v>
      </c>
    </row>
    <row r="614" spans="2:18" outlineLevel="1" x14ac:dyDescent="0.45"/>
    <row r="615" spans="2:18" outlineLevel="1" x14ac:dyDescent="0.45">
      <c r="B615" s="61" t="s">
        <v>173</v>
      </c>
      <c r="L615" s="210">
        <f>L591</f>
        <v>0</v>
      </c>
      <c r="M615" s="211">
        <f t="shared" ref="M615:R615" si="570">M591</f>
        <v>0</v>
      </c>
      <c r="N615" s="211">
        <f t="shared" si="570"/>
        <v>0</v>
      </c>
      <c r="O615" s="211">
        <f t="shared" si="570"/>
        <v>0</v>
      </c>
      <c r="P615" s="211">
        <f t="shared" si="570"/>
        <v>0</v>
      </c>
      <c r="Q615" s="211">
        <f t="shared" si="570"/>
        <v>0</v>
      </c>
      <c r="R615" s="212">
        <f t="shared" si="570"/>
        <v>0</v>
      </c>
    </row>
    <row r="616" spans="2:18" outlineLevel="1" x14ac:dyDescent="0.45"/>
    <row r="617" spans="2:18" outlineLevel="1" x14ac:dyDescent="0.45"/>
    <row r="618" spans="2:18" ht="14.65" outlineLevel="1" thickBot="1" x14ac:dyDescent="0.5">
      <c r="K618" s="215" t="s">
        <v>410</v>
      </c>
      <c r="L618" s="216">
        <v>0</v>
      </c>
      <c r="M618" s="216">
        <f>L618+1</f>
        <v>1</v>
      </c>
      <c r="N618" s="216">
        <f t="shared" ref="N618:R618" si="571">M618+1</f>
        <v>2</v>
      </c>
      <c r="O618" s="216">
        <f t="shared" si="571"/>
        <v>3</v>
      </c>
      <c r="P618" s="216">
        <f t="shared" si="571"/>
        <v>4</v>
      </c>
      <c r="Q618" s="216">
        <f t="shared" si="571"/>
        <v>5</v>
      </c>
      <c r="R618" s="216">
        <f t="shared" si="571"/>
        <v>6</v>
      </c>
    </row>
    <row r="619" spans="2:18" outlineLevel="1" x14ac:dyDescent="0.45">
      <c r="K619" s="545">
        <f ca="1">-'Transaction Details'!E51</f>
        <v>-4709210.2758593913</v>
      </c>
      <c r="L619" s="546">
        <f>IF($K628=L$618,L$613,L$615)</f>
        <v>0</v>
      </c>
      <c r="M619" s="546">
        <f t="shared" ref="M619:R619" si="572">IF($K628=M$618,M$613,M$615)</f>
        <v>0</v>
      </c>
      <c r="N619" s="546">
        <f t="shared" si="572"/>
        <v>0</v>
      </c>
      <c r="O619" s="546">
        <f t="shared" si="572"/>
        <v>0</v>
      </c>
      <c r="P619" s="546">
        <f t="shared" si="572"/>
        <v>0</v>
      </c>
      <c r="Q619" s="546">
        <f t="shared" si="572"/>
        <v>0</v>
      </c>
      <c r="R619" s="546">
        <f t="shared" ca="1" si="572"/>
        <v>13570913.079870744</v>
      </c>
    </row>
    <row r="620" spans="2:18" outlineLevel="1" x14ac:dyDescent="0.45">
      <c r="K620" s="547">
        <f ca="1">K619</f>
        <v>-4709210.2758593913</v>
      </c>
      <c r="L620" s="546">
        <f t="shared" ref="L620:R625" si="573">IF($K629=L$618,L$613,L$615)</f>
        <v>0</v>
      </c>
      <c r="M620" s="546">
        <f t="shared" si="573"/>
        <v>0</v>
      </c>
      <c r="N620" s="546">
        <f t="shared" si="573"/>
        <v>0</v>
      </c>
      <c r="O620" s="546">
        <f t="shared" si="573"/>
        <v>0</v>
      </c>
      <c r="P620" s="546">
        <f t="shared" si="573"/>
        <v>0</v>
      </c>
      <c r="Q620" s="546">
        <f t="shared" ca="1" si="573"/>
        <v>9060312.2834251765</v>
      </c>
      <c r="R620" s="546">
        <f t="shared" si="573"/>
        <v>0</v>
      </c>
    </row>
    <row r="621" spans="2:18" outlineLevel="1" x14ac:dyDescent="0.45">
      <c r="K621" s="547">
        <f t="shared" ref="K621:K625" ca="1" si="574">K620</f>
        <v>-4709210.2758593913</v>
      </c>
      <c r="L621" s="546">
        <f t="shared" si="573"/>
        <v>0</v>
      </c>
      <c r="M621" s="546">
        <f t="shared" si="573"/>
        <v>0</v>
      </c>
      <c r="N621" s="546">
        <f t="shared" si="573"/>
        <v>0</v>
      </c>
      <c r="O621" s="546">
        <f t="shared" si="573"/>
        <v>0</v>
      </c>
      <c r="P621" s="546">
        <f t="shared" ca="1" si="573"/>
        <v>6420205.3798392108</v>
      </c>
      <c r="Q621" s="546">
        <f t="shared" si="573"/>
        <v>0</v>
      </c>
      <c r="R621" s="546">
        <f t="shared" si="573"/>
        <v>0</v>
      </c>
    </row>
    <row r="622" spans="2:18" outlineLevel="1" x14ac:dyDescent="0.45">
      <c r="K622" s="547">
        <f t="shared" ca="1" si="574"/>
        <v>-4709210.2758593913</v>
      </c>
      <c r="L622" s="546">
        <f t="shared" si="573"/>
        <v>0</v>
      </c>
      <c r="M622" s="546">
        <f t="shared" si="573"/>
        <v>0</v>
      </c>
      <c r="N622" s="546">
        <f t="shared" si="573"/>
        <v>0</v>
      </c>
      <c r="O622" s="546">
        <f t="shared" ca="1" si="573"/>
        <v>4132864.0024600583</v>
      </c>
      <c r="P622" s="546">
        <f t="shared" si="573"/>
        <v>0</v>
      </c>
      <c r="Q622" s="546">
        <f t="shared" si="573"/>
        <v>0</v>
      </c>
      <c r="R622" s="546">
        <f t="shared" si="573"/>
        <v>0</v>
      </c>
    </row>
    <row r="623" spans="2:18" outlineLevel="1" x14ac:dyDescent="0.45">
      <c r="K623" s="547">
        <f t="shared" ca="1" si="574"/>
        <v>-4709210.2758593913</v>
      </c>
      <c r="L623" s="546">
        <f t="shared" si="573"/>
        <v>0</v>
      </c>
      <c r="M623" s="546">
        <f t="shared" si="573"/>
        <v>0</v>
      </c>
      <c r="N623" s="546">
        <f t="shared" ca="1" si="573"/>
        <v>2741664.3307341188</v>
      </c>
      <c r="O623" s="546">
        <f t="shared" si="573"/>
        <v>0</v>
      </c>
      <c r="P623" s="546">
        <f t="shared" si="573"/>
        <v>0</v>
      </c>
      <c r="Q623" s="546">
        <f t="shared" si="573"/>
        <v>0</v>
      </c>
      <c r="R623" s="546">
        <f t="shared" si="573"/>
        <v>0</v>
      </c>
    </row>
    <row r="624" spans="2:18" outlineLevel="1" x14ac:dyDescent="0.45">
      <c r="K624" s="547">
        <f t="shared" ca="1" si="574"/>
        <v>-4709210.2758593913</v>
      </c>
      <c r="L624" s="546">
        <f t="shared" si="573"/>
        <v>0</v>
      </c>
      <c r="M624" s="546">
        <f t="shared" ca="1" si="573"/>
        <v>1595495.2135060765</v>
      </c>
      <c r="N624" s="546">
        <f t="shared" si="573"/>
        <v>0</v>
      </c>
      <c r="O624" s="546">
        <f t="shared" si="573"/>
        <v>0</v>
      </c>
      <c r="P624" s="546">
        <f t="shared" si="573"/>
        <v>0</v>
      </c>
      <c r="Q624" s="546">
        <f t="shared" si="573"/>
        <v>0</v>
      </c>
      <c r="R624" s="546">
        <f t="shared" si="573"/>
        <v>0</v>
      </c>
    </row>
    <row r="625" spans="11:18" outlineLevel="1" x14ac:dyDescent="0.45">
      <c r="K625" s="547">
        <f t="shared" ca="1" si="574"/>
        <v>-4709210.2758593913</v>
      </c>
      <c r="L625" s="546">
        <f t="shared" ca="1" si="573"/>
        <v>233715.66877342947</v>
      </c>
      <c r="M625" s="546">
        <f t="shared" si="573"/>
        <v>0</v>
      </c>
      <c r="N625" s="546">
        <f t="shared" si="573"/>
        <v>0</v>
      </c>
      <c r="O625" s="546">
        <f t="shared" si="573"/>
        <v>0</v>
      </c>
      <c r="P625" s="546">
        <f t="shared" si="573"/>
        <v>0</v>
      </c>
      <c r="Q625" s="546">
        <f t="shared" si="573"/>
        <v>0</v>
      </c>
      <c r="R625" s="546">
        <f t="shared" si="573"/>
        <v>0</v>
      </c>
    </row>
    <row r="626" spans="11:18" outlineLevel="1" x14ac:dyDescent="0.45">
      <c r="N626" s="106" t="s">
        <v>423</v>
      </c>
    </row>
    <row r="627" spans="11:18" ht="14.65" outlineLevel="1" thickBot="1" x14ac:dyDescent="0.5">
      <c r="K627" s="215" t="s">
        <v>424</v>
      </c>
      <c r="L627" s="215" t="s">
        <v>425</v>
      </c>
      <c r="M627" s="215" t="s">
        <v>426</v>
      </c>
    </row>
    <row r="628" spans="11:18" outlineLevel="1" x14ac:dyDescent="0.45">
      <c r="K628" s="535">
        <v>6</v>
      </c>
      <c r="L628" s="534">
        <f ca="1">IFERROR(XIRR(K619:R619,$K$597:$R$597),"-")</f>
        <v>0.19148617386817932</v>
      </c>
      <c r="M628" s="218">
        <f ca="1">SUM(L619:R619)/-K619</f>
        <v>2.8817810810952089</v>
      </c>
    </row>
    <row r="629" spans="11:18" outlineLevel="1" x14ac:dyDescent="0.45">
      <c r="K629" s="217">
        <f>K628-1</f>
        <v>5</v>
      </c>
      <c r="L629" s="534">
        <f t="shared" ref="L629:L634" ca="1" si="575">IFERROR(XIRR(K620:R620,$K$597:$R$597),"-")</f>
        <v>0.13861173987388611</v>
      </c>
      <c r="M629" s="218">
        <f t="shared" ref="M629:M634" ca="1" si="576">SUM(L620:R620)/-K620</f>
        <v>1.9239557702213128</v>
      </c>
    </row>
    <row r="630" spans="11:18" outlineLevel="1" x14ac:dyDescent="0.45">
      <c r="K630" s="217">
        <f t="shared" ref="K630:K634" si="577">K629-1</f>
        <v>4</v>
      </c>
      <c r="L630" s="534">
        <f t="shared" ca="1" si="575"/>
        <v>7.9712191224098228E-2</v>
      </c>
      <c r="M630" s="218">
        <f t="shared" ca="1" si="576"/>
        <v>1.3633295189112313</v>
      </c>
    </row>
    <row r="631" spans="11:18" outlineLevel="1" x14ac:dyDescent="0.45">
      <c r="K631" s="217">
        <f t="shared" si="577"/>
        <v>3</v>
      </c>
      <c r="L631" s="534">
        <f t="shared" ca="1" si="575"/>
        <v>-4.205717146396637E-2</v>
      </c>
      <c r="M631" s="218">
        <f t="shared" ca="1" si="576"/>
        <v>0.87761296700768909</v>
      </c>
    </row>
    <row r="632" spans="11:18" outlineLevel="1" x14ac:dyDescent="0.45">
      <c r="K632" s="217">
        <f t="shared" si="577"/>
        <v>2</v>
      </c>
      <c r="L632" s="534">
        <f t="shared" ca="1" si="575"/>
        <v>-0.23309159353375442</v>
      </c>
      <c r="M632" s="218">
        <f t="shared" ca="1" si="576"/>
        <v>0.58219195366760046</v>
      </c>
    </row>
    <row r="633" spans="11:18" outlineLevel="1" x14ac:dyDescent="0.45">
      <c r="K633" s="217">
        <f t="shared" si="577"/>
        <v>1</v>
      </c>
      <c r="L633" s="534">
        <f t="shared" ca="1" si="575"/>
        <v>-0.64737682715058331</v>
      </c>
      <c r="M633" s="218">
        <f t="shared" ca="1" si="576"/>
        <v>0.33880313684122165</v>
      </c>
    </row>
    <row r="634" spans="11:18" outlineLevel="1" x14ac:dyDescent="0.45">
      <c r="K634" s="217">
        <f t="shared" si="577"/>
        <v>0</v>
      </c>
      <c r="L634" s="534" t="str">
        <f t="shared" ca="1" si="575"/>
        <v>-</v>
      </c>
      <c r="M634" s="218">
        <f t="shared" ca="1" si="576"/>
        <v>4.9629482457284907E-2</v>
      </c>
    </row>
    <row r="635" spans="11:18" outlineLevel="1" x14ac:dyDescent="0.45"/>
  </sheetData>
  <mergeCells count="25">
    <mergeCell ref="S402:T402"/>
    <mergeCell ref="B402:D402"/>
    <mergeCell ref="S3:T3"/>
    <mergeCell ref="S35:T35"/>
    <mergeCell ref="S99:T99"/>
    <mergeCell ref="B375:C375"/>
    <mergeCell ref="B229:C229"/>
    <mergeCell ref="B3:C3"/>
    <mergeCell ref="B99:C99"/>
    <mergeCell ref="B35:C35"/>
    <mergeCell ref="S229:T229"/>
    <mergeCell ref="S162:T162"/>
    <mergeCell ref="S201:T201"/>
    <mergeCell ref="S375:T375"/>
    <mergeCell ref="B162:C162"/>
    <mergeCell ref="B201:C201"/>
    <mergeCell ref="S419:T419"/>
    <mergeCell ref="S456:T456"/>
    <mergeCell ref="B595:C595"/>
    <mergeCell ref="B574:C574"/>
    <mergeCell ref="B538:C538"/>
    <mergeCell ref="B419:C419"/>
    <mergeCell ref="B456:C456"/>
    <mergeCell ref="S538:T538"/>
    <mergeCell ref="S574:T574"/>
  </mergeCells>
  <printOptions gridLines="1"/>
  <pageMargins left="0.7" right="0.7" top="0.75" bottom="0.75" header="0.3" footer="0.3"/>
  <pageSetup paperSize="9" orientation="portrait" r:id="rId1"/>
  <ignoredErrors>
    <ignoredError sqref="S49 L54:T54 L57:T57 L113:R113 L410:S410 S116 S157 S582 S589 S352 S475 S112 L69:T69 S244 S117:S119 S452 S503" formula="1"/>
  </ignoredErrors>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957C5F-C3AC-4B85-85CA-7EC4BAAA1A1F}">
  <dimension ref="A2:O326"/>
  <sheetViews>
    <sheetView showGridLines="0" zoomScale="73" zoomScaleNormal="100" workbookViewId="0">
      <selection activeCell="B2" sqref="B2"/>
    </sheetView>
  </sheetViews>
  <sheetFormatPr defaultColWidth="15.33203125" defaultRowHeight="15" customHeight="1" x14ac:dyDescent="0.45"/>
  <cols>
    <col min="1" max="1" width="4.33203125" style="3" customWidth="1"/>
    <col min="2" max="3" width="15.33203125" style="3"/>
    <col min="4" max="4" width="17.33203125" style="3" customWidth="1"/>
    <col min="5" max="14" width="15.33203125" style="3"/>
    <col min="16" max="16384" width="15.33203125" style="3"/>
  </cols>
  <sheetData>
    <row r="2" spans="1:14" ht="15" customHeight="1" x14ac:dyDescent="0.45">
      <c r="A2" s="1" t="s">
        <v>18</v>
      </c>
      <c r="B2" s="4" t="s">
        <v>427</v>
      </c>
      <c r="C2" s="4"/>
      <c r="D2" s="4"/>
      <c r="E2" s="4"/>
      <c r="F2" s="2"/>
      <c r="G2" s="2"/>
      <c r="H2" s="2"/>
      <c r="I2" s="2"/>
      <c r="J2" s="2"/>
      <c r="K2" s="2"/>
      <c r="L2" s="2"/>
      <c r="M2" s="2"/>
      <c r="N2" s="2"/>
    </row>
    <row r="3" spans="1:14" s="1" customFormat="1" ht="15" customHeight="1" x14ac:dyDescent="0.45"/>
    <row r="4" spans="1:14" ht="15" customHeight="1" x14ac:dyDescent="0.45">
      <c r="A4" s="1" t="s">
        <v>18</v>
      </c>
      <c r="B4" s="625" t="s">
        <v>428</v>
      </c>
      <c r="C4" s="625"/>
      <c r="D4" s="625"/>
      <c r="E4" s="625"/>
      <c r="F4" s="625"/>
      <c r="G4" s="625"/>
      <c r="H4" s="6"/>
      <c r="I4" s="5"/>
      <c r="J4" s="5"/>
      <c r="K4" s="5"/>
      <c r="L4" s="5"/>
      <c r="M4" s="5"/>
      <c r="N4" s="5"/>
    </row>
    <row r="5" spans="1:14" s="1" customFormat="1" ht="15" customHeight="1" x14ac:dyDescent="0.45">
      <c r="B5" s="16" t="s">
        <v>429</v>
      </c>
    </row>
    <row r="6" spans="1:14" ht="15" customHeight="1" x14ac:dyDescent="0.45">
      <c r="F6" s="11" t="s">
        <v>430</v>
      </c>
      <c r="G6" s="11" t="s">
        <v>431</v>
      </c>
      <c r="H6" s="11"/>
    </row>
    <row r="7" spans="1:14" ht="15" customHeight="1" x14ac:dyDescent="0.45">
      <c r="B7" s="25" t="s">
        <v>432</v>
      </c>
      <c r="C7" s="7"/>
      <c r="D7" s="7"/>
      <c r="E7" s="7"/>
      <c r="F7" s="13">
        <v>46.5</v>
      </c>
      <c r="G7" s="13">
        <v>46.5</v>
      </c>
      <c r="H7" s="13"/>
    </row>
    <row r="8" spans="1:14" ht="15" customHeight="1" x14ac:dyDescent="0.45">
      <c r="B8" s="25" t="s">
        <v>433</v>
      </c>
      <c r="C8" s="7"/>
      <c r="D8" s="7"/>
      <c r="E8" s="7"/>
      <c r="F8" s="13">
        <v>6969.79</v>
      </c>
      <c r="G8" s="13">
        <v>6969.79</v>
      </c>
      <c r="H8" s="13"/>
    </row>
    <row r="9" spans="1:14" ht="15" customHeight="1" x14ac:dyDescent="0.45">
      <c r="B9" s="25" t="s">
        <v>434</v>
      </c>
      <c r="C9" s="7"/>
      <c r="D9" s="7"/>
      <c r="E9" s="7"/>
      <c r="F9" s="13">
        <v>7000.2</v>
      </c>
      <c r="G9" s="13">
        <v>7000.2</v>
      </c>
      <c r="H9" s="13"/>
    </row>
    <row r="10" spans="1:14" ht="15" customHeight="1" x14ac:dyDescent="0.45">
      <c r="B10" s="25" t="s">
        <v>435</v>
      </c>
      <c r="C10" s="7"/>
      <c r="D10" s="7"/>
      <c r="E10" s="7"/>
      <c r="F10" s="13">
        <v>7305.91</v>
      </c>
      <c r="G10" s="13">
        <v>7305.91</v>
      </c>
      <c r="H10" s="13"/>
    </row>
    <row r="11" spans="1:14" ht="15" customHeight="1" x14ac:dyDescent="0.45">
      <c r="B11" s="25" t="s">
        <v>436</v>
      </c>
      <c r="C11" s="7"/>
      <c r="D11" s="7"/>
      <c r="E11" s="7"/>
      <c r="F11" s="14" t="s">
        <v>437</v>
      </c>
      <c r="G11" s="13">
        <v>7200</v>
      </c>
      <c r="H11" s="13"/>
    </row>
    <row r="12" spans="1:14" ht="15" customHeight="1" x14ac:dyDescent="0.45">
      <c r="B12" s="25" t="s">
        <v>438</v>
      </c>
      <c r="C12" s="7"/>
      <c r="D12" s="7"/>
      <c r="E12" s="7"/>
      <c r="F12" s="13">
        <v>7628.31</v>
      </c>
      <c r="G12" s="13">
        <v>7628.31</v>
      </c>
      <c r="H12" s="13"/>
    </row>
    <row r="13" spans="1:14" ht="15" customHeight="1" x14ac:dyDescent="0.45">
      <c r="B13" s="25" t="s">
        <v>439</v>
      </c>
      <c r="C13" s="7"/>
      <c r="D13" s="7"/>
      <c r="E13" s="7"/>
      <c r="F13" s="13">
        <v>6969.79</v>
      </c>
      <c r="G13" s="13">
        <v>6969.79</v>
      </c>
      <c r="H13" s="13"/>
    </row>
    <row r="14" spans="1:14" ht="15" customHeight="1" x14ac:dyDescent="0.45">
      <c r="B14" s="25" t="s">
        <v>440</v>
      </c>
      <c r="C14" s="7"/>
      <c r="D14" s="7"/>
      <c r="E14" s="7"/>
      <c r="F14" s="13">
        <v>7305.91</v>
      </c>
      <c r="G14" s="13">
        <v>7305.91</v>
      </c>
      <c r="H14" s="13"/>
    </row>
    <row r="15" spans="1:14" ht="15" customHeight="1" x14ac:dyDescent="0.45">
      <c r="B15" s="25" t="s">
        <v>441</v>
      </c>
      <c r="C15" s="7"/>
      <c r="D15" s="7"/>
      <c r="E15" s="7"/>
      <c r="F15" s="15">
        <v>1</v>
      </c>
      <c r="G15" s="15">
        <v>1</v>
      </c>
      <c r="H15" s="15"/>
    </row>
    <row r="17" spans="1:14" ht="15" customHeight="1" x14ac:dyDescent="0.45">
      <c r="A17" s="1" t="s">
        <v>18</v>
      </c>
      <c r="B17" s="625" t="s">
        <v>442</v>
      </c>
      <c r="C17" s="625"/>
      <c r="D17" s="625"/>
      <c r="E17" s="625"/>
      <c r="F17" s="625"/>
      <c r="G17" s="625"/>
      <c r="H17" s="6"/>
      <c r="I17" s="5"/>
      <c r="J17" s="5"/>
      <c r="K17" s="5"/>
      <c r="L17" s="5"/>
      <c r="M17" s="5"/>
      <c r="N17" s="5"/>
    </row>
    <row r="18" spans="1:14" ht="15" customHeight="1" x14ac:dyDescent="0.45">
      <c r="F18" s="626" t="s">
        <v>430</v>
      </c>
      <c r="G18" s="626"/>
      <c r="H18" s="17"/>
      <c r="I18" s="627" t="s">
        <v>431</v>
      </c>
      <c r="J18" s="627"/>
    </row>
    <row r="19" spans="1:14" ht="15" customHeight="1" x14ac:dyDescent="0.45">
      <c r="B19" s="620"/>
      <c r="C19" s="620"/>
      <c r="D19" s="7"/>
      <c r="F19" s="21" t="s">
        <v>443</v>
      </c>
      <c r="G19" s="21" t="s">
        <v>444</v>
      </c>
      <c r="H19" s="21"/>
      <c r="I19" s="21" t="s">
        <v>443</v>
      </c>
      <c r="J19" s="21" t="s">
        <v>444</v>
      </c>
    </row>
    <row r="20" spans="1:14" ht="15" customHeight="1" x14ac:dyDescent="0.45">
      <c r="B20" s="25" t="s">
        <v>445</v>
      </c>
      <c r="C20" s="7"/>
      <c r="D20" s="7"/>
      <c r="F20" s="22">
        <v>6.61</v>
      </c>
      <c r="G20" s="22">
        <v>10.45</v>
      </c>
      <c r="H20" s="22"/>
      <c r="I20" s="22">
        <v>6.61</v>
      </c>
      <c r="J20" s="22">
        <v>10.15</v>
      </c>
    </row>
    <row r="21" spans="1:14" ht="15" customHeight="1" x14ac:dyDescent="0.45">
      <c r="B21" s="25" t="s">
        <v>446</v>
      </c>
      <c r="C21" s="7"/>
      <c r="D21" s="7"/>
      <c r="F21" s="22">
        <v>55.72</v>
      </c>
      <c r="G21" s="22">
        <v>53.99</v>
      </c>
      <c r="H21" s="22"/>
      <c r="I21" s="22">
        <v>55.72</v>
      </c>
      <c r="J21" s="22">
        <v>40.33</v>
      </c>
    </row>
    <row r="22" spans="1:14" ht="15" customHeight="1" x14ac:dyDescent="0.45">
      <c r="B22" s="25" t="s">
        <v>447</v>
      </c>
      <c r="C22" s="7"/>
      <c r="D22" s="7"/>
      <c r="F22" s="22">
        <v>141.03</v>
      </c>
      <c r="G22" s="22">
        <v>72.400000000000006</v>
      </c>
      <c r="H22" s="22"/>
      <c r="I22" s="22">
        <v>141.03</v>
      </c>
      <c r="J22" s="22">
        <v>68.77</v>
      </c>
    </row>
    <row r="23" spans="1:14" ht="15" customHeight="1" x14ac:dyDescent="0.45">
      <c r="F23" s="22"/>
      <c r="G23" s="22"/>
      <c r="H23" s="22"/>
      <c r="I23" s="22"/>
      <c r="J23" s="22"/>
    </row>
    <row r="24" spans="1:14" s="3" customFormat="1" ht="15" customHeight="1" x14ac:dyDescent="0.45">
      <c r="A24" s="1" t="s">
        <v>18</v>
      </c>
      <c r="B24" s="625" t="s">
        <v>448</v>
      </c>
      <c r="C24" s="625"/>
      <c r="D24" s="625"/>
      <c r="E24" s="625"/>
      <c r="F24" s="625"/>
      <c r="G24" s="625"/>
      <c r="H24" s="6"/>
      <c r="I24" s="5"/>
      <c r="J24" s="5"/>
      <c r="K24" s="5"/>
      <c r="L24" s="5"/>
      <c r="M24" s="5"/>
      <c r="N24" s="5"/>
    </row>
    <row r="25" spans="1:14" ht="15" customHeight="1" x14ac:dyDescent="0.45">
      <c r="F25" s="626" t="s">
        <v>430</v>
      </c>
      <c r="G25" s="626"/>
      <c r="H25" s="17"/>
    </row>
    <row r="26" spans="1:14" ht="15" customHeight="1" x14ac:dyDescent="0.45">
      <c r="F26" s="21" t="s">
        <v>443</v>
      </c>
      <c r="G26" s="21" t="s">
        <v>444</v>
      </c>
      <c r="H26" s="21"/>
    </row>
    <row r="27" spans="1:14" ht="15" customHeight="1" x14ac:dyDescent="0.45">
      <c r="B27" s="25" t="s">
        <v>449</v>
      </c>
      <c r="C27" s="7"/>
      <c r="D27" s="7"/>
      <c r="E27" s="8"/>
      <c r="F27" s="22">
        <v>5.64</v>
      </c>
      <c r="G27" s="22">
        <v>9.1999999999999993</v>
      </c>
      <c r="H27" s="22"/>
    </row>
    <row r="28" spans="1:14" ht="15" customHeight="1" x14ac:dyDescent="0.45">
      <c r="B28" s="25" t="s">
        <v>450</v>
      </c>
      <c r="C28" s="7"/>
      <c r="D28" s="7"/>
      <c r="E28" s="8"/>
      <c r="F28" s="22">
        <v>23.47</v>
      </c>
      <c r="G28" s="22">
        <v>30.77</v>
      </c>
      <c r="H28" s="22"/>
    </row>
    <row r="29" spans="1:14" ht="15" customHeight="1" x14ac:dyDescent="0.45">
      <c r="B29" s="25" t="s">
        <v>451</v>
      </c>
      <c r="C29" s="7"/>
      <c r="D29" s="7"/>
      <c r="E29" s="8"/>
      <c r="F29" s="22">
        <v>30.14</v>
      </c>
      <c r="G29" s="22">
        <v>64.23</v>
      </c>
      <c r="H29" s="22"/>
    </row>
    <row r="30" spans="1:14" ht="15" customHeight="1" x14ac:dyDescent="0.45">
      <c r="B30" s="25" t="s">
        <v>452</v>
      </c>
      <c r="C30" s="7"/>
      <c r="D30" s="7"/>
      <c r="E30" s="8"/>
      <c r="F30" s="22">
        <v>35.33</v>
      </c>
      <c r="G30" s="22">
        <v>65.47</v>
      </c>
      <c r="H30" s="22"/>
    </row>
    <row r="31" spans="1:14" ht="15" customHeight="1" x14ac:dyDescent="0.45">
      <c r="B31" s="25" t="s">
        <v>453</v>
      </c>
      <c r="C31" s="7"/>
      <c r="D31" s="7"/>
      <c r="E31" s="8"/>
      <c r="F31" s="14" t="s">
        <v>437</v>
      </c>
      <c r="G31" s="22">
        <v>12.87</v>
      </c>
      <c r="H31" s="22"/>
    </row>
    <row r="32" spans="1:14" ht="15" customHeight="1" x14ac:dyDescent="0.45">
      <c r="B32" s="25" t="s">
        <v>454</v>
      </c>
      <c r="C32" s="7"/>
      <c r="D32" s="7"/>
      <c r="E32" s="8"/>
      <c r="F32" s="22">
        <v>40.520000000000003</v>
      </c>
      <c r="G32" s="22">
        <v>37.17</v>
      </c>
      <c r="H32" s="22"/>
    </row>
    <row r="33" spans="1:14" ht="15" customHeight="1" x14ac:dyDescent="0.45">
      <c r="B33" s="25" t="s">
        <v>455</v>
      </c>
      <c r="C33" s="7"/>
      <c r="D33" s="7"/>
      <c r="E33" s="8"/>
      <c r="F33" s="22">
        <v>32.03</v>
      </c>
      <c r="G33" s="22">
        <v>36.56</v>
      </c>
      <c r="H33" s="22"/>
    </row>
    <row r="34" spans="1:14" ht="15" customHeight="1" x14ac:dyDescent="0.45">
      <c r="B34" s="25" t="s">
        <v>456</v>
      </c>
      <c r="C34" s="7"/>
      <c r="D34" s="7"/>
      <c r="E34" s="8"/>
      <c r="F34" s="20">
        <v>1.0214000000000001</v>
      </c>
      <c r="G34" s="20">
        <v>1.0434000000000001</v>
      </c>
      <c r="H34" s="20"/>
      <c r="I34" s="19"/>
      <c r="J34" s="19"/>
    </row>
    <row r="36" spans="1:14" s="3" customFormat="1" ht="15" customHeight="1" x14ac:dyDescent="0.45">
      <c r="A36" s="1" t="s">
        <v>18</v>
      </c>
      <c r="B36" s="625" t="s">
        <v>457</v>
      </c>
      <c r="C36" s="625"/>
      <c r="D36" s="625"/>
      <c r="E36" s="625"/>
      <c r="F36" s="625"/>
      <c r="G36" s="625"/>
      <c r="H36" s="6"/>
      <c r="I36" s="5"/>
      <c r="J36" s="5"/>
      <c r="K36" s="5"/>
      <c r="L36" s="5"/>
      <c r="M36" s="5"/>
      <c r="N36" s="5"/>
    </row>
    <row r="37" spans="1:14" ht="15" customHeight="1" x14ac:dyDescent="0.45">
      <c r="B37" s="16" t="s">
        <v>458</v>
      </c>
      <c r="C37" s="30"/>
      <c r="D37" s="30"/>
      <c r="E37" s="30"/>
      <c r="F37" s="30"/>
      <c r="G37" s="30"/>
      <c r="H37" s="30"/>
      <c r="I37" s="30"/>
    </row>
    <row r="38" spans="1:14" ht="15" customHeight="1" x14ac:dyDescent="0.45">
      <c r="B38" s="16"/>
      <c r="C38" s="30"/>
      <c r="D38" s="30"/>
      <c r="E38" s="30"/>
      <c r="F38" s="30"/>
      <c r="G38" s="30"/>
      <c r="H38" s="30"/>
      <c r="I38" s="30"/>
    </row>
    <row r="39" spans="1:14" ht="15" customHeight="1" x14ac:dyDescent="0.45">
      <c r="B39" s="23" t="s">
        <v>459</v>
      </c>
      <c r="C39" s="23" t="s">
        <v>460</v>
      </c>
      <c r="D39" s="23"/>
      <c r="E39" s="24" t="s">
        <v>461</v>
      </c>
      <c r="F39" s="24" t="s">
        <v>462</v>
      </c>
      <c r="G39" s="24" t="s">
        <v>463</v>
      </c>
      <c r="H39" s="24"/>
      <c r="I39" s="24"/>
    </row>
    <row r="40" spans="1:14" ht="15" customHeight="1" x14ac:dyDescent="0.45">
      <c r="B40" s="7" t="s">
        <v>464</v>
      </c>
      <c r="C40" s="25" t="s">
        <v>465</v>
      </c>
      <c r="D40" s="7"/>
      <c r="E40" s="31">
        <v>89530637</v>
      </c>
      <c r="F40" s="13">
        <v>46.5</v>
      </c>
      <c r="G40" s="31">
        <v>4163175</v>
      </c>
      <c r="H40" s="9"/>
      <c r="I40" s="26"/>
    </row>
    <row r="41" spans="1:14" ht="15" customHeight="1" x14ac:dyDescent="0.45">
      <c r="B41" s="7" t="s">
        <v>464</v>
      </c>
      <c r="C41" s="25" t="s">
        <v>466</v>
      </c>
      <c r="D41" s="7"/>
      <c r="E41" s="31">
        <v>47844755</v>
      </c>
      <c r="F41" s="13">
        <v>46.5</v>
      </c>
      <c r="G41" s="31">
        <v>2224781</v>
      </c>
      <c r="H41" s="9"/>
      <c r="I41" s="26"/>
    </row>
    <row r="42" spans="1:14" ht="15" customHeight="1" x14ac:dyDescent="0.45">
      <c r="B42" s="7" t="s">
        <v>464</v>
      </c>
      <c r="C42" s="25" t="s">
        <v>467</v>
      </c>
      <c r="D42" s="7"/>
      <c r="E42" s="31">
        <v>542206</v>
      </c>
      <c r="F42" s="13">
        <v>46.5</v>
      </c>
      <c r="G42" s="31">
        <v>25213</v>
      </c>
      <c r="H42" s="9"/>
      <c r="I42" s="26"/>
    </row>
    <row r="43" spans="1:14" ht="15" customHeight="1" x14ac:dyDescent="0.45">
      <c r="B43" s="7" t="s">
        <v>464</v>
      </c>
      <c r="C43" s="25" t="s">
        <v>468</v>
      </c>
      <c r="D43" s="7"/>
      <c r="E43" s="31">
        <v>11970323</v>
      </c>
      <c r="F43" s="13">
        <v>46.5</v>
      </c>
      <c r="G43" s="31">
        <v>556620</v>
      </c>
      <c r="H43" s="9"/>
      <c r="I43" s="26"/>
    </row>
    <row r="44" spans="1:14" ht="15" customHeight="1" x14ac:dyDescent="0.45">
      <c r="B44" s="7" t="s">
        <v>464</v>
      </c>
      <c r="C44" s="7" t="s">
        <v>88</v>
      </c>
      <c r="D44" s="7"/>
      <c r="E44" s="31">
        <v>697402</v>
      </c>
      <c r="F44" s="13">
        <v>43.61</v>
      </c>
      <c r="G44" s="31">
        <v>30414</v>
      </c>
      <c r="H44" s="9"/>
      <c r="I44" s="26"/>
    </row>
    <row r="45" spans="1:14" ht="15" customHeight="1" x14ac:dyDescent="0.45">
      <c r="B45" s="25"/>
      <c r="C45" s="25"/>
      <c r="D45" s="25"/>
      <c r="E45" s="27"/>
      <c r="F45" s="25"/>
      <c r="G45" s="25"/>
      <c r="H45" s="25"/>
      <c r="I45" s="27"/>
    </row>
    <row r="46" spans="1:14" ht="15" customHeight="1" x14ac:dyDescent="0.45">
      <c r="B46" s="30" t="s">
        <v>469</v>
      </c>
      <c r="C46" s="30"/>
      <c r="D46" s="30"/>
      <c r="E46" s="30"/>
    </row>
    <row r="47" spans="1:14" ht="15" customHeight="1" x14ac:dyDescent="0.45">
      <c r="B47" s="16" t="s">
        <v>429</v>
      </c>
      <c r="C47" s="18"/>
      <c r="D47" s="18"/>
      <c r="E47" s="18"/>
      <c r="F47" s="24" t="s">
        <v>430</v>
      </c>
      <c r="G47" s="24" t="s">
        <v>431</v>
      </c>
    </row>
    <row r="48" spans="1:14" ht="15" customHeight="1" x14ac:dyDescent="0.45">
      <c r="B48" s="7" t="s">
        <v>470</v>
      </c>
      <c r="C48" s="28"/>
      <c r="D48" s="28"/>
      <c r="E48" s="28"/>
      <c r="F48" s="31">
        <v>7000202</v>
      </c>
      <c r="G48" s="31">
        <v>7000202</v>
      </c>
    </row>
    <row r="49" spans="1:14" ht="15" customHeight="1" x14ac:dyDescent="0.45">
      <c r="B49" s="7"/>
      <c r="C49" s="28"/>
      <c r="D49" s="28"/>
      <c r="E49" s="28"/>
      <c r="F49" s="28"/>
      <c r="G49" s="28"/>
    </row>
    <row r="50" spans="1:14" ht="15" customHeight="1" x14ac:dyDescent="0.45">
      <c r="B50" s="30" t="s">
        <v>471</v>
      </c>
      <c r="C50" s="30"/>
      <c r="D50" s="30"/>
      <c r="E50" s="30"/>
    </row>
    <row r="51" spans="1:14" s="3" customFormat="1" ht="15" customHeight="1" x14ac:dyDescent="0.45">
      <c r="B51" s="16" t="s">
        <v>429</v>
      </c>
      <c r="C51" s="30"/>
      <c r="D51" s="30"/>
      <c r="E51" s="30"/>
      <c r="F51" s="24" t="s">
        <v>430</v>
      </c>
      <c r="G51" s="24" t="s">
        <v>431</v>
      </c>
    </row>
    <row r="52" spans="1:14" ht="15" customHeight="1" x14ac:dyDescent="0.45">
      <c r="B52" s="7" t="s">
        <v>472</v>
      </c>
      <c r="C52" s="30"/>
      <c r="D52" s="30"/>
      <c r="E52" s="30"/>
      <c r="F52" s="31">
        <v>305706</v>
      </c>
      <c r="G52" s="31">
        <v>305706</v>
      </c>
    </row>
    <row r="53" spans="1:14" ht="15" customHeight="1" x14ac:dyDescent="0.45">
      <c r="B53" s="7"/>
      <c r="C53" s="30"/>
      <c r="D53" s="30"/>
      <c r="E53" s="30"/>
      <c r="F53" s="31"/>
      <c r="G53" s="31"/>
    </row>
    <row r="54" spans="1:14" ht="15" customHeight="1" x14ac:dyDescent="0.45">
      <c r="B54" s="30" t="s">
        <v>473</v>
      </c>
      <c r="C54" s="30"/>
      <c r="D54" s="30"/>
      <c r="E54" s="30"/>
      <c r="F54" s="31"/>
      <c r="G54" s="31"/>
    </row>
    <row r="55" spans="1:14" ht="15" customHeight="1" x14ac:dyDescent="0.45">
      <c r="B55" s="16" t="s">
        <v>429</v>
      </c>
      <c r="C55" s="30"/>
      <c r="D55" s="30"/>
      <c r="E55" s="30"/>
      <c r="F55" s="31"/>
      <c r="G55" s="31"/>
    </row>
    <row r="56" spans="1:14" ht="15" customHeight="1" x14ac:dyDescent="0.45">
      <c r="B56" s="12" t="s">
        <v>473</v>
      </c>
      <c r="C56" s="30"/>
      <c r="D56" s="30"/>
      <c r="E56" s="30"/>
      <c r="F56" s="31">
        <v>2650</v>
      </c>
      <c r="G56" s="31">
        <v>2650</v>
      </c>
    </row>
    <row r="57" spans="1:14" ht="15" customHeight="1" x14ac:dyDescent="0.45">
      <c r="B57" s="3" t="s">
        <v>110</v>
      </c>
    </row>
    <row r="58" spans="1:14" s="3" customFormat="1" ht="15" customHeight="1" x14ac:dyDescent="0.45">
      <c r="A58" s="1" t="s">
        <v>18</v>
      </c>
      <c r="B58" s="625" t="s">
        <v>474</v>
      </c>
      <c r="C58" s="625"/>
      <c r="D58" s="625"/>
      <c r="E58" s="625"/>
      <c r="F58" s="625"/>
      <c r="G58" s="625"/>
      <c r="H58" s="6"/>
      <c r="I58" s="5"/>
      <c r="J58" s="5"/>
      <c r="K58" s="5"/>
      <c r="L58" s="5"/>
      <c r="M58" s="5"/>
      <c r="N58" s="5"/>
    </row>
    <row r="59" spans="1:14" ht="15" customHeight="1" x14ac:dyDescent="0.45">
      <c r="B59" s="16" t="s">
        <v>458</v>
      </c>
    </row>
    <row r="61" spans="1:14" ht="15" customHeight="1" x14ac:dyDescent="0.45">
      <c r="B61" s="25" t="s">
        <v>475</v>
      </c>
      <c r="C61" s="28"/>
      <c r="D61" s="31"/>
      <c r="F61" s="31">
        <v>210493</v>
      </c>
    </row>
    <row r="62" spans="1:14" ht="15" customHeight="1" x14ac:dyDescent="0.45">
      <c r="B62" s="25" t="s">
        <v>476</v>
      </c>
      <c r="C62" s="8"/>
      <c r="D62" s="37"/>
      <c r="F62" s="37">
        <v>0.03</v>
      </c>
    </row>
    <row r="63" spans="1:14" ht="15" customHeight="1" x14ac:dyDescent="0.45">
      <c r="B63" s="25" t="s">
        <v>477</v>
      </c>
      <c r="C63" s="28"/>
      <c r="D63" s="31"/>
      <c r="F63" s="31">
        <v>245575</v>
      </c>
    </row>
    <row r="65" spans="1:14" s="3" customFormat="1" ht="15" customHeight="1" x14ac:dyDescent="0.45">
      <c r="A65" s="1" t="s">
        <v>18</v>
      </c>
      <c r="B65" s="625" t="s">
        <v>478</v>
      </c>
      <c r="C65" s="625"/>
      <c r="D65" s="625"/>
      <c r="E65" s="625"/>
      <c r="F65" s="625"/>
      <c r="G65" s="625"/>
      <c r="H65" s="6"/>
      <c r="I65" s="5"/>
      <c r="J65" s="5"/>
      <c r="K65" s="5"/>
      <c r="L65" s="5"/>
      <c r="M65" s="5"/>
      <c r="N65" s="5"/>
    </row>
    <row r="66" spans="1:14" ht="15" customHeight="1" x14ac:dyDescent="0.45">
      <c r="B66" s="16" t="s">
        <v>429</v>
      </c>
    </row>
    <row r="67" spans="1:14" s="32" customFormat="1" ht="15" customHeight="1" x14ac:dyDescent="0.45">
      <c r="B67" s="622"/>
      <c r="C67" s="622"/>
      <c r="D67" s="622"/>
      <c r="E67" s="622"/>
      <c r="F67" s="33" t="s">
        <v>479</v>
      </c>
      <c r="G67" s="33" t="s">
        <v>480</v>
      </c>
      <c r="H67" s="33"/>
      <c r="I67" s="33"/>
      <c r="J67" s="33"/>
      <c r="K67" s="33"/>
      <c r="L67" s="33"/>
      <c r="M67" s="33"/>
      <c r="N67" s="33"/>
    </row>
    <row r="68" spans="1:14" ht="15" customHeight="1" x14ac:dyDescent="0.45">
      <c r="B68" s="621" t="s">
        <v>295</v>
      </c>
      <c r="C68" s="621"/>
      <c r="D68" s="621"/>
      <c r="E68" s="621"/>
      <c r="F68" s="14" t="s">
        <v>481</v>
      </c>
      <c r="G68" s="14" t="s">
        <v>482</v>
      </c>
      <c r="H68" s="14"/>
      <c r="I68" s="14"/>
      <c r="J68" s="14"/>
      <c r="K68" s="14"/>
      <c r="L68" s="14"/>
      <c r="M68" s="14"/>
      <c r="N68" s="14"/>
    </row>
    <row r="69" spans="1:14" ht="15" customHeight="1" x14ac:dyDescent="0.45">
      <c r="B69" s="620" t="s">
        <v>483</v>
      </c>
      <c r="C69" s="620"/>
      <c r="D69" s="620"/>
      <c r="E69" s="620"/>
      <c r="F69" s="14" t="s">
        <v>481</v>
      </c>
      <c r="G69" s="14" t="s">
        <v>482</v>
      </c>
      <c r="H69" s="14"/>
      <c r="I69" s="14"/>
      <c r="J69" s="14"/>
      <c r="K69" s="14"/>
      <c r="L69" s="14"/>
      <c r="M69" s="14"/>
      <c r="N69" s="14"/>
    </row>
    <row r="70" spans="1:14" ht="15" customHeight="1" x14ac:dyDescent="0.45">
      <c r="B70" s="621" t="s">
        <v>484</v>
      </c>
      <c r="C70" s="621"/>
      <c r="D70" s="621"/>
      <c r="E70" s="621"/>
      <c r="F70" s="14"/>
      <c r="G70" s="14"/>
      <c r="H70" s="14"/>
      <c r="I70" s="14"/>
      <c r="J70" s="14"/>
      <c r="K70" s="14"/>
      <c r="L70" s="14"/>
      <c r="M70" s="14"/>
      <c r="N70" s="14"/>
    </row>
    <row r="71" spans="1:14" ht="15" customHeight="1" x14ac:dyDescent="0.45">
      <c r="B71" s="620" t="s">
        <v>485</v>
      </c>
      <c r="C71" s="620"/>
      <c r="D71" s="620"/>
      <c r="E71" s="620"/>
      <c r="F71" s="14" t="s">
        <v>486</v>
      </c>
      <c r="G71" s="14" t="s">
        <v>487</v>
      </c>
      <c r="H71" s="14"/>
      <c r="I71" s="14"/>
      <c r="J71" s="14"/>
      <c r="K71" s="14"/>
      <c r="L71" s="14"/>
      <c r="M71" s="14"/>
      <c r="N71" s="14"/>
    </row>
    <row r="72" spans="1:14" ht="15" customHeight="1" x14ac:dyDescent="0.45">
      <c r="B72" s="620" t="s">
        <v>488</v>
      </c>
      <c r="C72" s="620"/>
      <c r="D72" s="620"/>
      <c r="E72" s="620"/>
      <c r="F72" s="38">
        <v>272.29000000000002</v>
      </c>
      <c r="G72" s="38">
        <v>289.5</v>
      </c>
      <c r="H72" s="38"/>
      <c r="I72" s="38"/>
      <c r="J72" s="38"/>
      <c r="K72" s="38"/>
      <c r="L72" s="38"/>
      <c r="M72" s="38"/>
      <c r="N72" s="38"/>
    </row>
    <row r="73" spans="1:14" ht="15" customHeight="1" x14ac:dyDescent="0.45">
      <c r="B73" s="620" t="s">
        <v>489</v>
      </c>
      <c r="C73" s="620"/>
      <c r="D73" s="620"/>
      <c r="E73" s="620"/>
      <c r="F73" s="38">
        <v>0.63</v>
      </c>
      <c r="G73" s="38">
        <v>0.52</v>
      </c>
      <c r="H73" s="38"/>
      <c r="I73" s="38"/>
      <c r="J73" s="38"/>
      <c r="K73" s="38"/>
      <c r="L73" s="38"/>
      <c r="M73" s="38"/>
      <c r="N73" s="38"/>
    </row>
    <row r="74" spans="1:14" ht="15" customHeight="1" x14ac:dyDescent="0.45">
      <c r="B74" s="620" t="s">
        <v>490</v>
      </c>
      <c r="C74" s="620"/>
      <c r="D74" s="620"/>
      <c r="E74" s="620"/>
      <c r="F74" s="38">
        <v>69</v>
      </c>
      <c r="G74" s="38">
        <v>87</v>
      </c>
      <c r="H74" s="38"/>
      <c r="I74" s="38"/>
      <c r="J74" s="38"/>
      <c r="K74" s="38"/>
      <c r="L74" s="38"/>
      <c r="M74" s="38"/>
      <c r="N74" s="38"/>
    </row>
    <row r="75" spans="1:14" ht="15" customHeight="1" x14ac:dyDescent="0.45">
      <c r="B75" s="621" t="s">
        <v>491</v>
      </c>
      <c r="C75" s="621"/>
      <c r="D75" s="621"/>
      <c r="E75" s="621"/>
      <c r="F75" s="14"/>
      <c r="G75" s="14"/>
      <c r="H75" s="14"/>
      <c r="I75" s="14"/>
      <c r="J75" s="14"/>
      <c r="K75" s="14"/>
      <c r="L75" s="14"/>
      <c r="M75" s="14"/>
      <c r="N75" s="14"/>
    </row>
    <row r="76" spans="1:14" ht="15" customHeight="1" x14ac:dyDescent="0.45">
      <c r="B76" s="620" t="s">
        <v>492</v>
      </c>
      <c r="C76" s="620"/>
      <c r="D76" s="620"/>
      <c r="E76" s="620"/>
      <c r="F76" s="14" t="s">
        <v>487</v>
      </c>
      <c r="G76" s="14" t="s">
        <v>493</v>
      </c>
      <c r="H76" s="14"/>
      <c r="I76" s="14"/>
      <c r="J76" s="14"/>
      <c r="K76" s="14"/>
      <c r="L76" s="14"/>
      <c r="M76" s="14"/>
      <c r="N76" s="14"/>
    </row>
    <row r="77" spans="1:14" ht="15" customHeight="1" x14ac:dyDescent="0.45">
      <c r="B77" s="620" t="s">
        <v>483</v>
      </c>
      <c r="C77" s="620"/>
      <c r="D77" s="620"/>
      <c r="E77" s="620"/>
      <c r="F77" s="14" t="s">
        <v>481</v>
      </c>
      <c r="G77" s="14" t="s">
        <v>482</v>
      </c>
      <c r="H77" s="14"/>
      <c r="I77" s="14"/>
      <c r="J77" s="14"/>
      <c r="K77" s="14"/>
      <c r="L77" s="14"/>
      <c r="M77" s="14"/>
      <c r="N77" s="14"/>
    </row>
    <row r="78" spans="1:14" ht="15" customHeight="1" x14ac:dyDescent="0.45">
      <c r="B78" s="620" t="s">
        <v>488</v>
      </c>
      <c r="C78" s="620"/>
      <c r="D78" s="620"/>
      <c r="E78" s="620"/>
      <c r="F78" s="38">
        <v>276.33</v>
      </c>
      <c r="G78" s="38">
        <v>293.18</v>
      </c>
      <c r="H78" s="38"/>
      <c r="I78" s="38"/>
      <c r="J78" s="38"/>
      <c r="K78" s="38"/>
      <c r="L78" s="38"/>
      <c r="M78" s="38"/>
      <c r="N78" s="38"/>
    </row>
    <row r="79" spans="1:14" ht="15" customHeight="1" x14ac:dyDescent="0.45">
      <c r="B79" s="620" t="s">
        <v>489</v>
      </c>
      <c r="C79" s="620"/>
      <c r="D79" s="620"/>
      <c r="E79" s="620"/>
      <c r="F79" s="38">
        <v>0</v>
      </c>
      <c r="G79" s="38">
        <v>0</v>
      </c>
      <c r="H79" s="38"/>
      <c r="I79" s="38"/>
      <c r="J79" s="38"/>
      <c r="K79" s="38"/>
      <c r="L79" s="38"/>
      <c r="M79" s="38"/>
      <c r="N79" s="38"/>
    </row>
    <row r="80" spans="1:14" ht="15" customHeight="1" x14ac:dyDescent="0.45">
      <c r="B80" s="620" t="s">
        <v>494</v>
      </c>
      <c r="C80" s="620"/>
      <c r="D80" s="620"/>
      <c r="E80" s="620"/>
      <c r="F80" s="38">
        <v>281.14999999999998</v>
      </c>
      <c r="G80" s="38">
        <v>296.77</v>
      </c>
      <c r="H80" s="38"/>
      <c r="I80" s="38"/>
      <c r="J80" s="38"/>
      <c r="K80" s="38"/>
      <c r="L80" s="38"/>
      <c r="M80" s="38"/>
      <c r="N80" s="38"/>
    </row>
    <row r="81" spans="2:14" ht="15" customHeight="1" x14ac:dyDescent="0.45">
      <c r="B81" s="620" t="s">
        <v>489</v>
      </c>
      <c r="C81" s="620"/>
      <c r="D81" s="620"/>
      <c r="E81" s="620"/>
      <c r="F81" s="38">
        <v>1.5</v>
      </c>
      <c r="G81" s="38">
        <v>0.94</v>
      </c>
      <c r="H81" s="38"/>
      <c r="I81" s="38"/>
      <c r="J81" s="38"/>
      <c r="K81" s="38"/>
      <c r="L81" s="38"/>
      <c r="M81" s="38"/>
      <c r="N81" s="38"/>
    </row>
    <row r="82" spans="2:14" ht="15" customHeight="1" x14ac:dyDescent="0.45">
      <c r="B82" s="621" t="s">
        <v>495</v>
      </c>
      <c r="C82" s="621"/>
      <c r="D82" s="621"/>
      <c r="E82" s="621"/>
      <c r="F82" s="14" t="s">
        <v>496</v>
      </c>
      <c r="G82" s="14" t="s">
        <v>497</v>
      </c>
      <c r="H82" s="14"/>
      <c r="I82" s="14"/>
      <c r="J82" s="14"/>
      <c r="K82" s="14"/>
      <c r="L82" s="14"/>
      <c r="M82" s="14"/>
      <c r="N82" s="14"/>
    </row>
    <row r="83" spans="2:14" ht="15" customHeight="1" x14ac:dyDescent="0.45">
      <c r="B83" s="620" t="s">
        <v>483</v>
      </c>
      <c r="C83" s="620"/>
      <c r="D83" s="620"/>
      <c r="E83" s="620"/>
      <c r="F83" s="14" t="s">
        <v>496</v>
      </c>
      <c r="G83" s="14" t="s">
        <v>497</v>
      </c>
      <c r="H83" s="14"/>
      <c r="I83" s="14"/>
      <c r="J83" s="14"/>
      <c r="K83" s="14"/>
      <c r="L83" s="14"/>
      <c r="M83" s="14"/>
      <c r="N83" s="14"/>
    </row>
    <row r="84" spans="2:14" ht="15" customHeight="1" x14ac:dyDescent="0.45">
      <c r="B84" s="621" t="s">
        <v>484</v>
      </c>
      <c r="C84" s="621"/>
      <c r="D84" s="621"/>
      <c r="E84" s="621"/>
      <c r="F84" s="14"/>
      <c r="G84" s="14"/>
      <c r="H84" s="14"/>
      <c r="I84" s="14"/>
      <c r="J84" s="14"/>
      <c r="K84" s="14"/>
      <c r="L84" s="14"/>
      <c r="M84" s="14"/>
      <c r="N84" s="14"/>
    </row>
    <row r="85" spans="2:14" ht="15" customHeight="1" x14ac:dyDescent="0.45">
      <c r="B85" s="620" t="s">
        <v>485</v>
      </c>
      <c r="C85" s="620"/>
      <c r="D85" s="620"/>
      <c r="E85" s="620"/>
      <c r="F85" s="14" t="s">
        <v>486</v>
      </c>
      <c r="G85" s="14" t="s">
        <v>487</v>
      </c>
      <c r="H85" s="14"/>
      <c r="I85" s="14"/>
      <c r="J85" s="14"/>
      <c r="K85" s="14"/>
      <c r="L85" s="14"/>
      <c r="M85" s="14"/>
      <c r="N85" s="14"/>
    </row>
    <row r="86" spans="2:14" ht="15" customHeight="1" x14ac:dyDescent="0.45">
      <c r="B86" s="620" t="s">
        <v>488</v>
      </c>
      <c r="C86" s="620"/>
      <c r="D86" s="620"/>
      <c r="E86" s="620"/>
      <c r="F86" s="38">
        <v>71.09</v>
      </c>
      <c r="G86" s="38">
        <v>63.55</v>
      </c>
      <c r="H86" s="38"/>
      <c r="I86" s="38"/>
      <c r="J86" s="38"/>
      <c r="K86" s="38"/>
      <c r="L86" s="38"/>
      <c r="M86" s="38"/>
      <c r="N86" s="38"/>
    </row>
    <row r="87" spans="2:14" ht="15" customHeight="1" x14ac:dyDescent="0.45">
      <c r="B87" s="620" t="s">
        <v>489</v>
      </c>
      <c r="C87" s="620"/>
      <c r="D87" s="620"/>
      <c r="E87" s="620"/>
      <c r="F87" s="38">
        <v>8.31</v>
      </c>
      <c r="G87" s="38">
        <v>-7.15</v>
      </c>
      <c r="H87" s="38"/>
      <c r="I87" s="38"/>
      <c r="J87" s="38"/>
      <c r="K87" s="38"/>
      <c r="L87" s="38"/>
      <c r="M87" s="38"/>
      <c r="N87" s="38"/>
    </row>
    <row r="88" spans="2:14" ht="15" customHeight="1" x14ac:dyDescent="0.45">
      <c r="B88" s="620" t="s">
        <v>490</v>
      </c>
      <c r="C88" s="620"/>
      <c r="D88" s="620"/>
      <c r="E88" s="620"/>
      <c r="F88" s="38">
        <v>69</v>
      </c>
      <c r="G88" s="38">
        <v>87</v>
      </c>
      <c r="H88" s="38"/>
      <c r="I88" s="38"/>
      <c r="J88" s="38"/>
      <c r="K88" s="38"/>
      <c r="L88" s="38"/>
      <c r="M88" s="38"/>
      <c r="N88" s="38"/>
    </row>
    <row r="89" spans="2:14" ht="15" customHeight="1" x14ac:dyDescent="0.45">
      <c r="B89" s="621" t="s">
        <v>491</v>
      </c>
      <c r="C89" s="621"/>
      <c r="D89" s="621"/>
      <c r="E89" s="621"/>
      <c r="F89" s="14"/>
      <c r="G89" s="14"/>
      <c r="H89" s="14"/>
      <c r="I89" s="14"/>
      <c r="J89" s="14"/>
      <c r="K89" s="14"/>
      <c r="L89" s="14"/>
      <c r="M89" s="14"/>
      <c r="N89" s="14"/>
    </row>
    <row r="90" spans="2:14" ht="15" customHeight="1" x14ac:dyDescent="0.45">
      <c r="B90" s="620" t="s">
        <v>492</v>
      </c>
      <c r="C90" s="620"/>
      <c r="D90" s="620"/>
      <c r="E90" s="620"/>
      <c r="F90" s="14" t="s">
        <v>487</v>
      </c>
      <c r="G90" s="14" t="s">
        <v>493</v>
      </c>
      <c r="H90" s="14"/>
      <c r="I90" s="14"/>
      <c r="J90" s="14"/>
      <c r="K90" s="14"/>
      <c r="L90" s="14"/>
      <c r="M90" s="14"/>
      <c r="N90" s="14"/>
    </row>
    <row r="91" spans="2:14" ht="15" customHeight="1" x14ac:dyDescent="0.45">
      <c r="B91" s="620" t="s">
        <v>483</v>
      </c>
      <c r="C91" s="620"/>
      <c r="D91" s="620"/>
      <c r="E91" s="620"/>
      <c r="F91" s="14" t="s">
        <v>496</v>
      </c>
      <c r="G91" s="14" t="s">
        <v>497</v>
      </c>
      <c r="H91" s="14"/>
      <c r="I91" s="14"/>
      <c r="J91" s="14"/>
      <c r="K91" s="14"/>
      <c r="L91" s="14"/>
      <c r="M91" s="14"/>
      <c r="N91" s="14"/>
    </row>
    <row r="92" spans="2:14" ht="15" customHeight="1" x14ac:dyDescent="0.45">
      <c r="B92" s="620" t="s">
        <v>488</v>
      </c>
      <c r="C92" s="620"/>
      <c r="D92" s="620"/>
      <c r="E92" s="620"/>
      <c r="F92" s="38">
        <v>78.989999999999995</v>
      </c>
      <c r="G92" s="38">
        <v>58.05</v>
      </c>
      <c r="H92" s="38"/>
      <c r="I92" s="38"/>
      <c r="J92" s="38"/>
      <c r="K92" s="38"/>
      <c r="L92" s="38"/>
      <c r="M92" s="38"/>
      <c r="N92" s="38"/>
    </row>
    <row r="93" spans="2:14" ht="15" customHeight="1" x14ac:dyDescent="0.45">
      <c r="B93" s="620" t="s">
        <v>489</v>
      </c>
      <c r="C93" s="620"/>
      <c r="D93" s="620"/>
      <c r="E93" s="620"/>
      <c r="F93" s="38">
        <v>0</v>
      </c>
      <c r="G93" s="38">
        <v>0</v>
      </c>
      <c r="H93" s="38"/>
      <c r="I93" s="38"/>
      <c r="J93" s="38"/>
      <c r="K93" s="38"/>
      <c r="L93" s="38"/>
      <c r="M93" s="38"/>
      <c r="N93" s="38"/>
    </row>
    <row r="94" spans="2:14" ht="15" customHeight="1" x14ac:dyDescent="0.45">
      <c r="B94" s="620" t="s">
        <v>494</v>
      </c>
      <c r="C94" s="620"/>
      <c r="D94" s="620"/>
      <c r="E94" s="620"/>
      <c r="F94" s="38">
        <v>85.22</v>
      </c>
      <c r="G94" s="38">
        <v>60.63</v>
      </c>
      <c r="H94" s="37"/>
      <c r="I94" s="38"/>
      <c r="J94" s="38"/>
      <c r="K94" s="38"/>
      <c r="L94" s="38"/>
      <c r="M94" s="38"/>
      <c r="N94" s="38"/>
    </row>
    <row r="95" spans="2:14" ht="15" customHeight="1" x14ac:dyDescent="0.45">
      <c r="B95" s="620" t="s">
        <v>489</v>
      </c>
      <c r="C95" s="620"/>
      <c r="D95" s="620"/>
      <c r="E95" s="620"/>
      <c r="F95" s="38">
        <v>5.21</v>
      </c>
      <c r="G95" s="38">
        <v>2.76</v>
      </c>
      <c r="H95" s="38"/>
      <c r="I95" s="38"/>
      <c r="J95" s="38"/>
      <c r="K95" s="38"/>
      <c r="L95" s="38"/>
      <c r="M95" s="38"/>
      <c r="N95" s="38"/>
    </row>
    <row r="96" spans="2:14" ht="15" customHeight="1" x14ac:dyDescent="0.45">
      <c r="B96" s="621" t="s">
        <v>498</v>
      </c>
      <c r="C96" s="621"/>
      <c r="D96" s="621"/>
      <c r="E96" s="621"/>
      <c r="F96" s="14" t="s">
        <v>499</v>
      </c>
      <c r="G96" s="14" t="s">
        <v>500</v>
      </c>
      <c r="H96" s="14"/>
      <c r="I96" s="14"/>
      <c r="J96" s="14"/>
      <c r="K96" s="14"/>
      <c r="L96" s="14"/>
      <c r="M96" s="14"/>
      <c r="N96" s="14"/>
    </row>
    <row r="97" spans="2:14" ht="15" customHeight="1" x14ac:dyDescent="0.45">
      <c r="B97" s="620" t="s">
        <v>483</v>
      </c>
      <c r="C97" s="620"/>
      <c r="D97" s="620"/>
      <c r="E97" s="620"/>
      <c r="F97" s="14" t="s">
        <v>499</v>
      </c>
      <c r="G97" s="14" t="s">
        <v>500</v>
      </c>
      <c r="H97" s="14"/>
      <c r="I97" s="14"/>
      <c r="J97" s="14"/>
      <c r="K97" s="14"/>
      <c r="L97" s="14"/>
      <c r="M97" s="14"/>
      <c r="N97" s="14"/>
    </row>
    <row r="98" spans="2:14" ht="15" customHeight="1" x14ac:dyDescent="0.45">
      <c r="B98" s="621" t="s">
        <v>484</v>
      </c>
      <c r="C98" s="621"/>
      <c r="D98" s="621"/>
      <c r="E98" s="621"/>
      <c r="F98" s="14"/>
      <c r="G98" s="14"/>
      <c r="H98" s="14"/>
      <c r="I98" s="14"/>
      <c r="J98" s="14"/>
      <c r="K98" s="14"/>
      <c r="L98" s="14"/>
      <c r="M98" s="14"/>
      <c r="N98" s="14"/>
    </row>
    <row r="99" spans="2:14" ht="15" customHeight="1" x14ac:dyDescent="0.45">
      <c r="B99" s="620" t="s">
        <v>485</v>
      </c>
      <c r="C99" s="620"/>
      <c r="D99" s="620"/>
      <c r="E99" s="620"/>
      <c r="F99" s="14" t="s">
        <v>486</v>
      </c>
      <c r="G99" s="14" t="s">
        <v>487</v>
      </c>
      <c r="H99" s="14"/>
      <c r="I99" s="14"/>
      <c r="J99" s="14"/>
      <c r="K99" s="14"/>
      <c r="L99" s="14"/>
      <c r="M99" s="14"/>
      <c r="N99" s="14"/>
    </row>
    <row r="100" spans="2:14" ht="15" customHeight="1" x14ac:dyDescent="0.45">
      <c r="B100" s="620" t="s">
        <v>488</v>
      </c>
      <c r="C100" s="620"/>
      <c r="D100" s="620"/>
      <c r="E100" s="620"/>
      <c r="F100" s="38">
        <v>74.83</v>
      </c>
      <c r="G100" s="38">
        <v>62.6</v>
      </c>
      <c r="H100" s="38"/>
      <c r="I100" s="38"/>
      <c r="J100" s="38"/>
      <c r="K100" s="38"/>
      <c r="L100" s="38"/>
      <c r="M100" s="38"/>
      <c r="N100" s="38"/>
    </row>
    <row r="101" spans="2:14" ht="15" customHeight="1" x14ac:dyDescent="0.45">
      <c r="B101" s="620" t="s">
        <v>489</v>
      </c>
      <c r="C101" s="620"/>
      <c r="D101" s="620"/>
      <c r="E101" s="620"/>
      <c r="F101" s="38">
        <v>10.92</v>
      </c>
      <c r="G101" s="38">
        <v>0</v>
      </c>
      <c r="H101" s="38"/>
      <c r="I101" s="38"/>
      <c r="J101" s="38"/>
      <c r="K101" s="38"/>
      <c r="L101" s="38"/>
      <c r="M101" s="38"/>
      <c r="N101" s="38"/>
    </row>
    <row r="102" spans="2:14" ht="15" customHeight="1" x14ac:dyDescent="0.45">
      <c r="B102" s="620" t="s">
        <v>490</v>
      </c>
      <c r="C102" s="620"/>
      <c r="D102" s="620"/>
      <c r="E102" s="620"/>
      <c r="F102" s="38">
        <v>69</v>
      </c>
      <c r="G102" s="38">
        <v>87</v>
      </c>
      <c r="H102" s="38"/>
      <c r="I102" s="38"/>
      <c r="J102" s="38"/>
      <c r="K102" s="38"/>
      <c r="L102" s="38"/>
      <c r="M102" s="38"/>
      <c r="N102" s="38"/>
    </row>
    <row r="103" spans="2:14" ht="15" customHeight="1" x14ac:dyDescent="0.45">
      <c r="B103" s="621" t="s">
        <v>491</v>
      </c>
      <c r="C103" s="621"/>
      <c r="D103" s="621"/>
      <c r="E103" s="621"/>
      <c r="F103" s="14"/>
      <c r="G103" s="14"/>
      <c r="H103" s="14"/>
      <c r="I103" s="14"/>
      <c r="J103" s="14"/>
      <c r="K103" s="14"/>
      <c r="L103" s="14"/>
      <c r="M103" s="14"/>
      <c r="N103" s="14"/>
    </row>
    <row r="104" spans="2:14" ht="15" customHeight="1" x14ac:dyDescent="0.45">
      <c r="B104" s="620" t="s">
        <v>492</v>
      </c>
      <c r="C104" s="620"/>
      <c r="D104" s="620"/>
      <c r="E104" s="620"/>
      <c r="F104" s="14" t="s">
        <v>487</v>
      </c>
      <c r="G104" s="14" t="s">
        <v>493</v>
      </c>
      <c r="H104" s="14"/>
      <c r="I104" s="14"/>
      <c r="J104" s="14"/>
      <c r="K104" s="14"/>
      <c r="L104" s="14"/>
      <c r="M104" s="14"/>
      <c r="N104" s="14"/>
    </row>
    <row r="105" spans="2:14" ht="15" customHeight="1" x14ac:dyDescent="0.45">
      <c r="B105" s="620" t="s">
        <v>483</v>
      </c>
      <c r="C105" s="620"/>
      <c r="D105" s="620"/>
      <c r="E105" s="620"/>
      <c r="F105" s="14" t="s">
        <v>499</v>
      </c>
      <c r="G105" s="14" t="s">
        <v>500</v>
      </c>
      <c r="H105" s="14"/>
      <c r="I105" s="14"/>
      <c r="J105" s="14"/>
      <c r="K105" s="14"/>
      <c r="L105" s="14"/>
      <c r="M105" s="14"/>
      <c r="N105" s="14"/>
    </row>
    <row r="106" spans="2:14" ht="15" customHeight="1" x14ac:dyDescent="0.45">
      <c r="B106" s="620" t="s">
        <v>488</v>
      </c>
      <c r="C106" s="620"/>
      <c r="D106" s="620"/>
      <c r="E106" s="620"/>
      <c r="F106" s="38">
        <v>81.81</v>
      </c>
      <c r="G106" s="38">
        <v>60.08</v>
      </c>
      <c r="H106" s="38"/>
      <c r="I106" s="38"/>
      <c r="J106" s="38"/>
      <c r="K106" s="38"/>
      <c r="L106" s="38"/>
      <c r="M106" s="38"/>
      <c r="N106" s="38"/>
    </row>
    <row r="107" spans="2:14" ht="15" customHeight="1" x14ac:dyDescent="0.45">
      <c r="B107" s="620" t="s">
        <v>489</v>
      </c>
      <c r="C107" s="620"/>
      <c r="D107" s="620"/>
      <c r="E107" s="620"/>
      <c r="F107" s="38">
        <v>-1.43</v>
      </c>
      <c r="G107" s="38">
        <v>-1.51</v>
      </c>
      <c r="H107" s="38"/>
      <c r="I107" s="38"/>
      <c r="J107" s="38"/>
      <c r="K107" s="38"/>
      <c r="L107" s="38"/>
      <c r="M107" s="38"/>
      <c r="N107" s="38"/>
    </row>
    <row r="108" spans="2:14" ht="15" customHeight="1" x14ac:dyDescent="0.45">
      <c r="B108" s="620" t="s">
        <v>494</v>
      </c>
      <c r="C108" s="620"/>
      <c r="D108" s="620"/>
      <c r="E108" s="620"/>
      <c r="F108" s="38">
        <v>81.83</v>
      </c>
      <c r="G108" s="38">
        <v>57.94</v>
      </c>
      <c r="H108" s="38"/>
      <c r="I108" s="38"/>
      <c r="J108" s="38"/>
      <c r="K108" s="38"/>
      <c r="L108" s="38"/>
      <c r="M108" s="38"/>
      <c r="N108" s="38"/>
    </row>
    <row r="109" spans="2:14" ht="15" customHeight="1" x14ac:dyDescent="0.45">
      <c r="B109" s="620" t="s">
        <v>489</v>
      </c>
      <c r="C109" s="620"/>
      <c r="D109" s="620"/>
      <c r="E109" s="620"/>
      <c r="F109" s="38">
        <v>-1.4</v>
      </c>
      <c r="G109" s="38">
        <v>-5.0199999999999996</v>
      </c>
      <c r="H109" s="38"/>
      <c r="I109" s="38"/>
      <c r="J109" s="38"/>
      <c r="K109" s="38"/>
      <c r="L109" s="38"/>
      <c r="M109" s="38"/>
      <c r="N109" s="38"/>
    </row>
    <row r="110" spans="2:14" ht="15" customHeight="1" x14ac:dyDescent="0.45">
      <c r="B110" s="621" t="s">
        <v>501</v>
      </c>
      <c r="C110" s="621"/>
      <c r="D110" s="621"/>
      <c r="E110" s="621"/>
      <c r="F110" s="14" t="s">
        <v>502</v>
      </c>
      <c r="G110" s="38">
        <v>2</v>
      </c>
      <c r="H110" s="14"/>
      <c r="I110" s="14"/>
      <c r="J110" s="14"/>
      <c r="K110" s="38"/>
      <c r="L110" s="38"/>
      <c r="M110" s="38"/>
      <c r="N110" s="38"/>
    </row>
    <row r="111" spans="2:14" ht="15" customHeight="1" x14ac:dyDescent="0.45">
      <c r="B111" s="620" t="s">
        <v>483</v>
      </c>
      <c r="C111" s="620"/>
      <c r="D111" s="620"/>
      <c r="E111" s="620"/>
      <c r="F111" s="14" t="s">
        <v>502</v>
      </c>
      <c r="G111" s="38">
        <v>2</v>
      </c>
      <c r="H111" s="14"/>
      <c r="I111" s="14"/>
      <c r="J111" s="14"/>
      <c r="K111" s="38"/>
      <c r="L111" s="38"/>
      <c r="M111" s="38"/>
      <c r="N111" s="38"/>
    </row>
    <row r="112" spans="2:14" ht="15" customHeight="1" x14ac:dyDescent="0.45">
      <c r="B112" s="621" t="s">
        <v>484</v>
      </c>
      <c r="C112" s="621"/>
      <c r="D112" s="621"/>
      <c r="E112" s="621"/>
      <c r="F112" s="14"/>
      <c r="G112" s="14"/>
      <c r="H112" s="14"/>
      <c r="I112" s="14"/>
      <c r="J112" s="14"/>
      <c r="K112" s="14"/>
      <c r="L112" s="14"/>
      <c r="M112" s="14"/>
      <c r="N112" s="14"/>
    </row>
    <row r="113" spans="1:14" ht="15" customHeight="1" x14ac:dyDescent="0.45">
      <c r="B113" s="620" t="s">
        <v>485</v>
      </c>
      <c r="C113" s="620"/>
      <c r="D113" s="620"/>
      <c r="E113" s="620"/>
      <c r="F113" s="14" t="s">
        <v>486</v>
      </c>
      <c r="G113" s="14" t="s">
        <v>487</v>
      </c>
      <c r="H113" s="14"/>
      <c r="I113" s="14"/>
      <c r="J113" s="14"/>
      <c r="K113" s="14"/>
      <c r="L113" s="14"/>
      <c r="M113" s="14"/>
      <c r="N113" s="14"/>
    </row>
    <row r="114" spans="1:14" ht="15" customHeight="1" x14ac:dyDescent="0.45">
      <c r="B114" s="620" t="s">
        <v>488</v>
      </c>
      <c r="C114" s="620"/>
      <c r="D114" s="620"/>
      <c r="E114" s="620"/>
      <c r="F114" s="38">
        <v>3.28</v>
      </c>
      <c r="G114" s="38">
        <v>1.88</v>
      </c>
      <c r="H114" s="38"/>
      <c r="I114" s="38"/>
      <c r="J114" s="38"/>
      <c r="K114" s="38"/>
      <c r="L114" s="38"/>
      <c r="M114" s="38"/>
      <c r="N114" s="38"/>
    </row>
    <row r="115" spans="1:14" ht="15" customHeight="1" x14ac:dyDescent="0.45">
      <c r="B115" s="620" t="s">
        <v>489</v>
      </c>
      <c r="C115" s="620"/>
      <c r="D115" s="620"/>
      <c r="E115" s="620"/>
      <c r="F115" s="38">
        <v>-8.4</v>
      </c>
      <c r="G115" s="38">
        <v>6.47</v>
      </c>
      <c r="H115" s="38"/>
      <c r="I115" s="38"/>
      <c r="J115" s="38"/>
      <c r="K115" s="38"/>
      <c r="L115" s="38"/>
      <c r="M115" s="38"/>
      <c r="N115" s="38"/>
    </row>
    <row r="116" spans="1:14" ht="15" customHeight="1" x14ac:dyDescent="0.45">
      <c r="B116" s="620" t="s">
        <v>490</v>
      </c>
      <c r="C116" s="620"/>
      <c r="D116" s="620"/>
      <c r="E116" s="620"/>
      <c r="F116" s="38">
        <v>69</v>
      </c>
      <c r="G116" s="38">
        <v>87</v>
      </c>
      <c r="H116" s="38"/>
      <c r="I116" s="38"/>
      <c r="J116" s="38"/>
      <c r="K116" s="38"/>
      <c r="L116" s="38"/>
      <c r="M116" s="38"/>
      <c r="N116" s="38"/>
    </row>
    <row r="117" spans="1:14" ht="15" customHeight="1" x14ac:dyDescent="0.45">
      <c r="B117" s="621" t="s">
        <v>491</v>
      </c>
      <c r="C117" s="621"/>
      <c r="D117" s="621"/>
      <c r="E117" s="621"/>
      <c r="F117" s="14"/>
      <c r="G117" s="14"/>
      <c r="H117" s="14"/>
      <c r="I117" s="14"/>
      <c r="J117" s="14"/>
      <c r="K117" s="14"/>
      <c r="L117" s="14"/>
      <c r="M117" s="14"/>
      <c r="N117" s="14"/>
    </row>
    <row r="118" spans="1:14" ht="15" customHeight="1" x14ac:dyDescent="0.45">
      <c r="B118" s="620" t="s">
        <v>492</v>
      </c>
      <c r="C118" s="620"/>
      <c r="D118" s="620"/>
      <c r="E118" s="620"/>
      <c r="F118" s="14" t="s">
        <v>487</v>
      </c>
      <c r="G118" s="14" t="s">
        <v>493</v>
      </c>
      <c r="H118" s="14"/>
      <c r="I118" s="14"/>
      <c r="J118" s="14"/>
      <c r="K118" s="14"/>
      <c r="L118" s="14"/>
      <c r="M118" s="14"/>
      <c r="N118" s="14"/>
    </row>
    <row r="119" spans="1:14" ht="15" customHeight="1" x14ac:dyDescent="0.45">
      <c r="B119" s="620" t="s">
        <v>483</v>
      </c>
      <c r="C119" s="620"/>
      <c r="D119" s="620"/>
      <c r="E119" s="620"/>
      <c r="F119" s="14" t="s">
        <v>502</v>
      </c>
      <c r="G119" s="38">
        <v>2</v>
      </c>
      <c r="H119" s="14"/>
      <c r="I119" s="14"/>
      <c r="J119" s="14"/>
      <c r="K119" s="38"/>
      <c r="L119" s="38"/>
      <c r="M119" s="38"/>
      <c r="N119" s="38"/>
    </row>
    <row r="120" spans="1:14" ht="15" customHeight="1" x14ac:dyDescent="0.45">
      <c r="B120" s="620" t="s">
        <v>488</v>
      </c>
      <c r="C120" s="620"/>
      <c r="D120" s="620"/>
      <c r="E120" s="620"/>
      <c r="F120" s="38">
        <v>2.75</v>
      </c>
      <c r="G120" s="38">
        <v>2.33</v>
      </c>
      <c r="H120" s="38"/>
      <c r="I120" s="38"/>
      <c r="J120" s="38"/>
      <c r="K120" s="38"/>
      <c r="L120" s="38"/>
      <c r="M120" s="38"/>
      <c r="N120" s="38"/>
    </row>
    <row r="121" spans="1:14" ht="15" customHeight="1" x14ac:dyDescent="0.45">
      <c r="B121" s="620" t="s">
        <v>489</v>
      </c>
      <c r="C121" s="620"/>
      <c r="D121" s="620"/>
      <c r="E121" s="620"/>
      <c r="F121" s="38">
        <v>0</v>
      </c>
      <c r="G121" s="38">
        <v>16.559999999999999</v>
      </c>
      <c r="H121" s="38"/>
      <c r="I121" s="38"/>
      <c r="J121" s="38"/>
      <c r="K121" s="38"/>
      <c r="L121" s="38"/>
      <c r="M121" s="38"/>
      <c r="N121" s="38"/>
    </row>
    <row r="122" spans="1:14" ht="15" customHeight="1" x14ac:dyDescent="0.45">
      <c r="B122" s="620" t="s">
        <v>494</v>
      </c>
      <c r="C122" s="620"/>
      <c r="D122" s="620"/>
      <c r="E122" s="620"/>
      <c r="F122" s="38">
        <v>3.39</v>
      </c>
      <c r="G122" s="38">
        <v>2.69</v>
      </c>
      <c r="H122" s="38"/>
      <c r="I122" s="38"/>
      <c r="J122" s="38"/>
      <c r="K122" s="38"/>
      <c r="L122" s="38"/>
      <c r="M122" s="38"/>
      <c r="N122" s="38"/>
    </row>
    <row r="123" spans="1:14" ht="15" customHeight="1" x14ac:dyDescent="0.45">
      <c r="B123" s="620" t="s">
        <v>489</v>
      </c>
      <c r="C123" s="620"/>
      <c r="D123" s="620"/>
      <c r="E123" s="620"/>
      <c r="F123" s="38">
        <v>12.83</v>
      </c>
      <c r="G123" s="38">
        <v>34.450000000000003</v>
      </c>
      <c r="H123" s="38"/>
      <c r="I123" s="38"/>
      <c r="J123" s="38"/>
      <c r="K123" s="38"/>
      <c r="L123" s="38"/>
      <c r="M123" s="38"/>
      <c r="N123" s="38"/>
    </row>
    <row r="125" spans="1:14" s="3" customFormat="1" ht="15" customHeight="1" x14ac:dyDescent="0.45">
      <c r="A125" s="1" t="s">
        <v>18</v>
      </c>
      <c r="B125" s="625" t="s">
        <v>503</v>
      </c>
      <c r="C125" s="625"/>
      <c r="D125" s="625"/>
      <c r="E125" s="625"/>
      <c r="F125" s="625"/>
      <c r="G125" s="625"/>
      <c r="H125" s="6"/>
      <c r="I125" s="5"/>
      <c r="J125" s="5"/>
      <c r="K125" s="5"/>
      <c r="L125" s="5"/>
      <c r="M125" s="5"/>
      <c r="N125" s="5"/>
    </row>
    <row r="126" spans="1:14" ht="15" customHeight="1" x14ac:dyDescent="0.45">
      <c r="B126" s="16" t="s">
        <v>429</v>
      </c>
    </row>
    <row r="128" spans="1:14" s="36" customFormat="1" ht="15" customHeight="1" x14ac:dyDescent="0.45">
      <c r="B128" s="622" t="s">
        <v>504</v>
      </c>
      <c r="C128" s="622"/>
      <c r="D128" s="622"/>
      <c r="E128" s="624" t="s">
        <v>479</v>
      </c>
      <c r="F128" s="624"/>
      <c r="G128" s="624" t="s">
        <v>480</v>
      </c>
      <c r="H128" s="624"/>
      <c r="I128" s="624" t="s">
        <v>505</v>
      </c>
      <c r="J128" s="624"/>
      <c r="K128" s="624" t="s">
        <v>506</v>
      </c>
      <c r="L128" s="624"/>
      <c r="M128" s="624" t="s">
        <v>507</v>
      </c>
      <c r="N128" s="624"/>
    </row>
    <row r="129" spans="2:14" ht="15" customHeight="1" x14ac:dyDescent="0.45">
      <c r="B129" s="621" t="s">
        <v>295</v>
      </c>
      <c r="C129" s="621"/>
      <c r="D129" s="621"/>
      <c r="E129" s="14"/>
      <c r="F129" s="14" t="s">
        <v>508</v>
      </c>
      <c r="G129" s="14"/>
      <c r="H129" s="14" t="s">
        <v>509</v>
      </c>
      <c r="I129" s="14"/>
      <c r="J129" s="14" t="s">
        <v>510</v>
      </c>
      <c r="K129" s="14"/>
      <c r="L129" s="14" t="s">
        <v>510</v>
      </c>
      <c r="M129" s="14"/>
      <c r="N129" s="14" t="s">
        <v>510</v>
      </c>
    </row>
    <row r="130" spans="2:14" ht="15" customHeight="1" x14ac:dyDescent="0.45">
      <c r="B130" s="620" t="s">
        <v>511</v>
      </c>
      <c r="C130" s="620"/>
      <c r="D130" s="620"/>
      <c r="E130" s="14"/>
      <c r="F130" s="14" t="s">
        <v>508</v>
      </c>
      <c r="G130" s="14"/>
      <c r="H130" s="14" t="s">
        <v>509</v>
      </c>
      <c r="I130" s="14"/>
      <c r="J130" s="14" t="s">
        <v>510</v>
      </c>
      <c r="K130" s="14"/>
      <c r="L130" s="14" t="s">
        <v>510</v>
      </c>
      <c r="M130" s="14"/>
      <c r="N130" s="14" t="s">
        <v>510</v>
      </c>
    </row>
    <row r="131" spans="2:14" ht="15" customHeight="1" x14ac:dyDescent="0.45">
      <c r="B131" s="620" t="s">
        <v>512</v>
      </c>
      <c r="C131" s="620"/>
      <c r="D131" s="620"/>
      <c r="E131" s="14"/>
      <c r="F131" s="14" t="s">
        <v>513</v>
      </c>
      <c r="G131" s="14"/>
      <c r="H131" s="14" t="s">
        <v>514</v>
      </c>
      <c r="I131" s="14"/>
      <c r="J131" s="14" t="s">
        <v>510</v>
      </c>
      <c r="K131" s="14"/>
      <c r="L131" s="14" t="s">
        <v>510</v>
      </c>
      <c r="M131" s="14"/>
      <c r="N131" s="14" t="s">
        <v>510</v>
      </c>
    </row>
    <row r="132" spans="2:14" ht="15" customHeight="1" x14ac:dyDescent="0.45">
      <c r="B132" s="620" t="s">
        <v>515</v>
      </c>
      <c r="C132" s="620"/>
      <c r="D132" s="620"/>
      <c r="E132" s="14"/>
      <c r="F132" s="14" t="s">
        <v>516</v>
      </c>
      <c r="G132" s="14"/>
      <c r="H132" s="14" t="s">
        <v>517</v>
      </c>
      <c r="I132" s="14"/>
      <c r="J132" s="14" t="s">
        <v>510</v>
      </c>
      <c r="K132" s="14"/>
      <c r="L132" s="14" t="s">
        <v>510</v>
      </c>
      <c r="M132" s="14"/>
      <c r="N132" s="14" t="s">
        <v>510</v>
      </c>
    </row>
    <row r="133" spans="2:14" ht="15" customHeight="1" x14ac:dyDescent="0.45">
      <c r="B133" s="620" t="s">
        <v>518</v>
      </c>
      <c r="C133" s="620"/>
      <c r="D133" s="620"/>
      <c r="E133" s="14"/>
      <c r="F133" s="14" t="s">
        <v>519</v>
      </c>
      <c r="G133" s="14"/>
      <c r="H133" s="14" t="s">
        <v>520</v>
      </c>
      <c r="I133" s="14"/>
      <c r="J133" s="14" t="s">
        <v>510</v>
      </c>
      <c r="K133" s="14"/>
      <c r="L133" s="14" t="s">
        <v>510</v>
      </c>
      <c r="M133" s="14"/>
      <c r="N133" s="14" t="s">
        <v>510</v>
      </c>
    </row>
    <row r="134" spans="2:14" ht="15" customHeight="1" x14ac:dyDescent="0.45">
      <c r="B134" s="620" t="s">
        <v>521</v>
      </c>
      <c r="C134" s="620"/>
      <c r="D134" s="620"/>
      <c r="E134" s="14"/>
      <c r="F134" s="14" t="s">
        <v>522</v>
      </c>
      <c r="G134" s="14"/>
      <c r="H134" s="14" t="s">
        <v>523</v>
      </c>
      <c r="I134" s="14"/>
      <c r="J134" s="14" t="s">
        <v>510</v>
      </c>
      <c r="K134" s="14"/>
      <c r="L134" s="14" t="s">
        <v>510</v>
      </c>
      <c r="M134" s="14"/>
      <c r="N134" s="14" t="s">
        <v>510</v>
      </c>
    </row>
    <row r="135" spans="2:14" ht="15" customHeight="1" x14ac:dyDescent="0.45">
      <c r="B135" s="620"/>
      <c r="C135" s="620"/>
      <c r="D135" s="620"/>
      <c r="E135" s="14"/>
      <c r="F135" s="14"/>
      <c r="G135" s="14"/>
      <c r="H135" s="14"/>
      <c r="I135" s="14"/>
      <c r="J135" s="14"/>
      <c r="K135" s="14"/>
      <c r="L135" s="14"/>
      <c r="M135" s="14"/>
      <c r="N135" s="14"/>
    </row>
    <row r="136" spans="2:14" ht="15" customHeight="1" x14ac:dyDescent="0.45">
      <c r="B136" s="621" t="s">
        <v>524</v>
      </c>
      <c r="C136" s="621"/>
      <c r="D136" s="621"/>
      <c r="E136" s="14"/>
      <c r="F136" s="14" t="s">
        <v>525</v>
      </c>
      <c r="G136" s="14"/>
      <c r="H136" s="14" t="s">
        <v>526</v>
      </c>
      <c r="I136" s="14"/>
      <c r="J136" s="14" t="s">
        <v>510</v>
      </c>
      <c r="K136" s="14"/>
      <c r="L136" s="14" t="s">
        <v>510</v>
      </c>
      <c r="M136" s="14"/>
      <c r="N136" s="14" t="s">
        <v>510</v>
      </c>
    </row>
    <row r="137" spans="2:14" ht="15" customHeight="1" x14ac:dyDescent="0.45">
      <c r="B137" s="620" t="s">
        <v>511</v>
      </c>
      <c r="C137" s="620"/>
      <c r="D137" s="620"/>
      <c r="E137" s="14"/>
      <c r="F137" s="14" t="s">
        <v>525</v>
      </c>
      <c r="G137" s="14"/>
      <c r="H137" s="14" t="s">
        <v>526</v>
      </c>
      <c r="I137" s="14"/>
      <c r="J137" s="14" t="s">
        <v>510</v>
      </c>
      <c r="K137" s="14"/>
      <c r="L137" s="14" t="s">
        <v>510</v>
      </c>
      <c r="M137" s="14"/>
      <c r="N137" s="14" t="s">
        <v>510</v>
      </c>
    </row>
    <row r="138" spans="2:14" ht="15" customHeight="1" x14ac:dyDescent="0.45">
      <c r="B138" s="620" t="s">
        <v>512</v>
      </c>
      <c r="C138" s="620"/>
      <c r="D138" s="620"/>
      <c r="E138" s="14"/>
      <c r="F138" s="14" t="s">
        <v>527</v>
      </c>
      <c r="G138" s="14"/>
      <c r="H138" s="14" t="s">
        <v>528</v>
      </c>
      <c r="I138" s="14"/>
      <c r="J138" s="14" t="s">
        <v>510</v>
      </c>
      <c r="K138" s="14"/>
      <c r="L138" s="14" t="s">
        <v>510</v>
      </c>
      <c r="M138" s="14"/>
      <c r="N138" s="14" t="s">
        <v>510</v>
      </c>
    </row>
    <row r="139" spans="2:14" ht="15" customHeight="1" x14ac:dyDescent="0.45">
      <c r="B139" s="620" t="s">
        <v>515</v>
      </c>
      <c r="C139" s="620"/>
      <c r="D139" s="620"/>
      <c r="E139" s="14"/>
      <c r="F139" s="14" t="s">
        <v>527</v>
      </c>
      <c r="G139" s="14"/>
      <c r="H139" s="14" t="s">
        <v>528</v>
      </c>
      <c r="I139" s="14"/>
      <c r="J139" s="14" t="s">
        <v>510</v>
      </c>
      <c r="K139" s="14"/>
      <c r="L139" s="14" t="s">
        <v>510</v>
      </c>
      <c r="M139" s="14"/>
      <c r="N139" s="14" t="s">
        <v>510</v>
      </c>
    </row>
    <row r="140" spans="2:14" ht="15" customHeight="1" x14ac:dyDescent="0.45">
      <c r="B140" s="620" t="s">
        <v>518</v>
      </c>
      <c r="C140" s="620"/>
      <c r="D140" s="620"/>
      <c r="E140" s="14"/>
      <c r="F140" s="14" t="s">
        <v>527</v>
      </c>
      <c r="G140" s="14"/>
      <c r="H140" s="14" t="s">
        <v>528</v>
      </c>
      <c r="I140" s="14"/>
      <c r="J140" s="14" t="s">
        <v>510</v>
      </c>
      <c r="K140" s="14"/>
      <c r="L140" s="14" t="s">
        <v>510</v>
      </c>
      <c r="M140" s="14"/>
      <c r="N140" s="14" t="s">
        <v>510</v>
      </c>
    </row>
    <row r="141" spans="2:14" ht="15" customHeight="1" x14ac:dyDescent="0.45">
      <c r="B141" s="620" t="s">
        <v>521</v>
      </c>
      <c r="C141" s="620"/>
      <c r="D141" s="620"/>
      <c r="E141" s="14"/>
      <c r="F141" s="14" t="s">
        <v>527</v>
      </c>
      <c r="G141" s="14"/>
      <c r="H141" s="14" t="s">
        <v>528</v>
      </c>
      <c r="I141" s="14"/>
      <c r="J141" s="14" t="s">
        <v>510</v>
      </c>
      <c r="K141" s="14"/>
      <c r="L141" s="14" t="s">
        <v>510</v>
      </c>
      <c r="M141" s="14"/>
      <c r="N141" s="14" t="s">
        <v>510</v>
      </c>
    </row>
    <row r="142" spans="2:14" ht="15" customHeight="1" x14ac:dyDescent="0.45">
      <c r="B142" s="620"/>
      <c r="C142" s="620"/>
      <c r="D142" s="620"/>
      <c r="E142" s="14"/>
      <c r="F142" s="14"/>
      <c r="G142" s="14"/>
      <c r="H142" s="14"/>
      <c r="I142" s="14"/>
      <c r="J142" s="14"/>
      <c r="K142" s="14"/>
      <c r="L142" s="14"/>
      <c r="M142" s="14"/>
      <c r="N142" s="14"/>
    </row>
    <row r="143" spans="2:14" ht="15" customHeight="1" x14ac:dyDescent="0.45">
      <c r="B143" s="621" t="s">
        <v>529</v>
      </c>
      <c r="C143" s="621"/>
      <c r="D143" s="621"/>
      <c r="E143" s="14"/>
      <c r="F143" s="14" t="s">
        <v>530</v>
      </c>
      <c r="G143" s="14"/>
      <c r="H143" s="14" t="s">
        <v>531</v>
      </c>
      <c r="I143" s="14"/>
      <c r="J143" s="14" t="s">
        <v>532</v>
      </c>
      <c r="K143" s="14"/>
      <c r="L143" s="14" t="s">
        <v>533</v>
      </c>
      <c r="M143" s="14"/>
      <c r="N143" s="14" t="s">
        <v>534</v>
      </c>
    </row>
    <row r="144" spans="2:14" ht="15" customHeight="1" x14ac:dyDescent="0.45">
      <c r="B144" s="620" t="s">
        <v>511</v>
      </c>
      <c r="C144" s="620"/>
      <c r="D144" s="620"/>
      <c r="E144" s="14"/>
      <c r="F144" s="14" t="s">
        <v>530</v>
      </c>
      <c r="G144" s="14"/>
      <c r="H144" s="14" t="s">
        <v>531</v>
      </c>
      <c r="I144" s="14"/>
      <c r="J144" s="14" t="s">
        <v>532</v>
      </c>
      <c r="K144" s="14"/>
      <c r="L144" s="14" t="s">
        <v>533</v>
      </c>
      <c r="M144" s="14"/>
      <c r="N144" s="14" t="s">
        <v>534</v>
      </c>
    </row>
    <row r="145" spans="2:14" ht="15" customHeight="1" x14ac:dyDescent="0.45">
      <c r="B145" s="620" t="s">
        <v>512</v>
      </c>
      <c r="C145" s="620"/>
      <c r="D145" s="620"/>
      <c r="E145" s="14"/>
      <c r="F145" s="14" t="s">
        <v>535</v>
      </c>
      <c r="G145" s="14"/>
      <c r="H145" s="14" t="s">
        <v>536</v>
      </c>
      <c r="I145" s="14"/>
      <c r="J145" s="14" t="s">
        <v>532</v>
      </c>
      <c r="K145" s="14"/>
      <c r="L145" s="14" t="s">
        <v>533</v>
      </c>
      <c r="M145" s="14"/>
      <c r="N145" s="14" t="s">
        <v>534</v>
      </c>
    </row>
    <row r="146" spans="2:14" ht="15" customHeight="1" x14ac:dyDescent="0.45">
      <c r="B146" s="620" t="s">
        <v>515</v>
      </c>
      <c r="C146" s="620"/>
      <c r="D146" s="620"/>
      <c r="E146" s="14"/>
      <c r="F146" s="14" t="s">
        <v>537</v>
      </c>
      <c r="G146" s="14"/>
      <c r="H146" s="14" t="s">
        <v>538</v>
      </c>
      <c r="I146" s="14"/>
      <c r="J146" s="14" t="s">
        <v>539</v>
      </c>
      <c r="K146" s="14"/>
      <c r="L146" s="14" t="s">
        <v>540</v>
      </c>
      <c r="M146" s="14"/>
      <c r="N146" s="14" t="s">
        <v>541</v>
      </c>
    </row>
    <row r="147" spans="2:14" ht="15" customHeight="1" x14ac:dyDescent="0.45">
      <c r="B147" s="620" t="s">
        <v>518</v>
      </c>
      <c r="C147" s="620"/>
      <c r="D147" s="620"/>
      <c r="E147" s="14"/>
      <c r="F147" s="14" t="s">
        <v>542</v>
      </c>
      <c r="G147" s="14"/>
      <c r="H147" s="14" t="s">
        <v>543</v>
      </c>
      <c r="I147" s="14"/>
      <c r="J147" s="14" t="s">
        <v>544</v>
      </c>
      <c r="K147" s="14"/>
      <c r="L147" s="14" t="s">
        <v>545</v>
      </c>
      <c r="M147" s="14"/>
      <c r="N147" s="14" t="s">
        <v>546</v>
      </c>
    </row>
    <row r="148" spans="2:14" ht="15" customHeight="1" x14ac:dyDescent="0.45">
      <c r="B148" s="620" t="s">
        <v>521</v>
      </c>
      <c r="C148" s="620"/>
      <c r="D148" s="620"/>
      <c r="E148" s="14"/>
      <c r="F148" s="14" t="s">
        <v>547</v>
      </c>
      <c r="G148" s="14"/>
      <c r="H148" s="14" t="s">
        <v>548</v>
      </c>
      <c r="I148" s="14"/>
      <c r="J148" s="14" t="s">
        <v>549</v>
      </c>
      <c r="K148" s="14"/>
      <c r="L148" s="14" t="s">
        <v>550</v>
      </c>
      <c r="M148" s="14"/>
      <c r="N148" s="14" t="s">
        <v>551</v>
      </c>
    </row>
    <row r="149" spans="2:14" ht="15" customHeight="1" x14ac:dyDescent="0.45">
      <c r="B149" s="620"/>
      <c r="C149" s="620"/>
      <c r="D149" s="620"/>
      <c r="E149" s="14"/>
      <c r="F149" s="14"/>
      <c r="G149" s="14"/>
      <c r="H149" s="14"/>
      <c r="I149" s="14"/>
      <c r="J149" s="14"/>
      <c r="K149" s="14"/>
      <c r="L149" s="14"/>
      <c r="M149" s="14"/>
      <c r="N149" s="14"/>
    </row>
    <row r="150" spans="2:14" ht="15" customHeight="1" x14ac:dyDescent="0.45">
      <c r="B150" s="621" t="s">
        <v>33</v>
      </c>
      <c r="C150" s="621"/>
      <c r="D150" s="621"/>
      <c r="E150" s="14"/>
      <c r="F150" s="14" t="s">
        <v>552</v>
      </c>
      <c r="G150" s="14"/>
      <c r="H150" s="14" t="s">
        <v>553</v>
      </c>
      <c r="I150" s="14"/>
      <c r="J150" s="14" t="s">
        <v>510</v>
      </c>
      <c r="K150" s="14"/>
      <c r="L150" s="14" t="s">
        <v>510</v>
      </c>
      <c r="M150" s="14"/>
      <c r="N150" s="14" t="s">
        <v>510</v>
      </c>
    </row>
    <row r="151" spans="2:14" ht="15" customHeight="1" x14ac:dyDescent="0.45">
      <c r="B151" s="620" t="s">
        <v>511</v>
      </c>
      <c r="C151" s="620"/>
      <c r="D151" s="620"/>
      <c r="E151" s="14"/>
      <c r="F151" s="14" t="s">
        <v>552</v>
      </c>
      <c r="G151" s="14"/>
      <c r="H151" s="14" t="s">
        <v>553</v>
      </c>
      <c r="I151" s="14"/>
      <c r="J151" s="14" t="s">
        <v>510</v>
      </c>
      <c r="K151" s="14"/>
      <c r="L151" s="14" t="s">
        <v>510</v>
      </c>
      <c r="M151" s="14"/>
      <c r="N151" s="14" t="s">
        <v>510</v>
      </c>
    </row>
    <row r="152" spans="2:14" ht="15" customHeight="1" x14ac:dyDescent="0.45">
      <c r="B152" s="620" t="s">
        <v>512</v>
      </c>
      <c r="C152" s="620"/>
      <c r="D152" s="620"/>
      <c r="E152" s="14"/>
      <c r="F152" s="14" t="s">
        <v>554</v>
      </c>
      <c r="G152" s="14"/>
      <c r="H152" s="14" t="s">
        <v>555</v>
      </c>
      <c r="I152" s="14"/>
      <c r="J152" s="14" t="s">
        <v>510</v>
      </c>
      <c r="K152" s="14"/>
      <c r="L152" s="14" t="s">
        <v>510</v>
      </c>
      <c r="M152" s="14"/>
      <c r="N152" s="14" t="s">
        <v>510</v>
      </c>
    </row>
    <row r="153" spans="2:14" ht="15" customHeight="1" x14ac:dyDescent="0.45">
      <c r="B153" s="620" t="s">
        <v>515</v>
      </c>
      <c r="C153" s="620"/>
      <c r="D153" s="620"/>
      <c r="E153" s="14"/>
      <c r="F153" s="14" t="s">
        <v>556</v>
      </c>
      <c r="G153" s="14"/>
      <c r="H153" s="14" t="s">
        <v>557</v>
      </c>
      <c r="I153" s="14"/>
      <c r="J153" s="14" t="s">
        <v>510</v>
      </c>
      <c r="K153" s="14"/>
      <c r="L153" s="14" t="s">
        <v>510</v>
      </c>
      <c r="M153" s="14"/>
      <c r="N153" s="14" t="s">
        <v>510</v>
      </c>
    </row>
    <row r="154" spans="2:14" ht="15" customHeight="1" x14ac:dyDescent="0.45">
      <c r="B154" s="620" t="s">
        <v>518</v>
      </c>
      <c r="C154" s="620"/>
      <c r="D154" s="620"/>
      <c r="E154" s="14"/>
      <c r="F154" s="14" t="s">
        <v>558</v>
      </c>
      <c r="G154" s="14"/>
      <c r="H154" s="14" t="s">
        <v>559</v>
      </c>
      <c r="I154" s="14"/>
      <c r="J154" s="14" t="s">
        <v>510</v>
      </c>
      <c r="K154" s="14"/>
      <c r="L154" s="14" t="s">
        <v>510</v>
      </c>
      <c r="M154" s="14"/>
      <c r="N154" s="14" t="s">
        <v>510</v>
      </c>
    </row>
    <row r="155" spans="2:14" ht="15" customHeight="1" x14ac:dyDescent="0.45">
      <c r="B155" s="620" t="s">
        <v>521</v>
      </c>
      <c r="C155" s="620"/>
      <c r="D155" s="620"/>
      <c r="E155" s="14"/>
      <c r="F155" s="14" t="s">
        <v>560</v>
      </c>
      <c r="G155" s="14"/>
      <c r="H155" s="14" t="s">
        <v>561</v>
      </c>
      <c r="I155" s="14"/>
      <c r="J155" s="14" t="s">
        <v>510</v>
      </c>
      <c r="K155" s="14"/>
      <c r="L155" s="14" t="s">
        <v>510</v>
      </c>
      <c r="M155" s="14"/>
      <c r="N155" s="14" t="s">
        <v>510</v>
      </c>
    </row>
    <row r="156" spans="2:14" ht="15" customHeight="1" x14ac:dyDescent="0.45">
      <c r="B156" s="620"/>
      <c r="C156" s="620"/>
      <c r="D156" s="620"/>
      <c r="E156" s="14"/>
      <c r="F156" s="14"/>
      <c r="G156" s="14"/>
      <c r="H156" s="14"/>
      <c r="I156" s="14"/>
      <c r="J156" s="14"/>
      <c r="K156" s="14"/>
      <c r="L156" s="14"/>
      <c r="M156" s="14"/>
      <c r="N156" s="14"/>
    </row>
    <row r="157" spans="2:14" ht="15" customHeight="1" x14ac:dyDescent="0.45">
      <c r="B157" s="621" t="s">
        <v>562</v>
      </c>
      <c r="C157" s="621"/>
      <c r="D157" s="621"/>
      <c r="E157" s="14"/>
      <c r="F157" s="14" t="s">
        <v>563</v>
      </c>
      <c r="G157" s="14"/>
      <c r="H157" s="14" t="s">
        <v>564</v>
      </c>
      <c r="I157" s="14"/>
      <c r="J157" s="14" t="s">
        <v>510</v>
      </c>
      <c r="K157" s="14"/>
      <c r="L157" s="14" t="s">
        <v>510</v>
      </c>
      <c r="M157" s="14"/>
      <c r="N157" s="14" t="s">
        <v>510</v>
      </c>
    </row>
    <row r="158" spans="2:14" ht="15" customHeight="1" x14ac:dyDescent="0.45">
      <c r="B158" s="620" t="s">
        <v>511</v>
      </c>
      <c r="C158" s="620"/>
      <c r="D158" s="620"/>
      <c r="E158" s="14"/>
      <c r="F158" s="14" t="s">
        <v>563</v>
      </c>
      <c r="G158" s="14"/>
      <c r="H158" s="14" t="s">
        <v>564</v>
      </c>
      <c r="I158" s="14"/>
      <c r="J158" s="14" t="s">
        <v>510</v>
      </c>
      <c r="K158" s="14"/>
      <c r="L158" s="14" t="s">
        <v>510</v>
      </c>
      <c r="M158" s="14"/>
      <c r="N158" s="14" t="s">
        <v>510</v>
      </c>
    </row>
    <row r="159" spans="2:14" ht="15" customHeight="1" x14ac:dyDescent="0.45">
      <c r="B159" s="620" t="s">
        <v>512</v>
      </c>
      <c r="C159" s="620"/>
      <c r="D159" s="620"/>
      <c r="E159" s="14"/>
      <c r="F159" s="14" t="s">
        <v>565</v>
      </c>
      <c r="G159" s="14"/>
      <c r="H159" s="14" t="s">
        <v>566</v>
      </c>
      <c r="I159" s="14"/>
      <c r="J159" s="14" t="s">
        <v>510</v>
      </c>
      <c r="K159" s="14"/>
      <c r="L159" s="14" t="s">
        <v>510</v>
      </c>
      <c r="M159" s="14"/>
      <c r="N159" s="14" t="s">
        <v>510</v>
      </c>
    </row>
    <row r="160" spans="2:14" ht="15" customHeight="1" x14ac:dyDescent="0.45">
      <c r="B160" s="620" t="s">
        <v>515</v>
      </c>
      <c r="C160" s="620"/>
      <c r="D160" s="620"/>
      <c r="E160" s="14"/>
      <c r="F160" s="14" t="s">
        <v>567</v>
      </c>
      <c r="G160" s="14"/>
      <c r="H160" s="14" t="s">
        <v>568</v>
      </c>
      <c r="I160" s="14"/>
      <c r="J160" s="14" t="s">
        <v>510</v>
      </c>
      <c r="K160" s="14"/>
      <c r="L160" s="14" t="s">
        <v>510</v>
      </c>
      <c r="M160" s="14"/>
      <c r="N160" s="14" t="s">
        <v>510</v>
      </c>
    </row>
    <row r="161" spans="2:14" ht="15" customHeight="1" x14ac:dyDescent="0.45">
      <c r="B161" s="620" t="s">
        <v>518</v>
      </c>
      <c r="C161" s="620"/>
      <c r="D161" s="620"/>
      <c r="E161" s="14"/>
      <c r="F161" s="14" t="s">
        <v>569</v>
      </c>
      <c r="G161" s="14"/>
      <c r="H161" s="14" t="s">
        <v>570</v>
      </c>
      <c r="I161" s="14"/>
      <c r="J161" s="14" t="s">
        <v>510</v>
      </c>
      <c r="K161" s="14"/>
      <c r="L161" s="14" t="s">
        <v>510</v>
      </c>
      <c r="M161" s="14"/>
      <c r="N161" s="14" t="s">
        <v>510</v>
      </c>
    </row>
    <row r="162" spans="2:14" ht="15" customHeight="1" x14ac:dyDescent="0.45">
      <c r="B162" s="620" t="s">
        <v>521</v>
      </c>
      <c r="C162" s="620"/>
      <c r="D162" s="620"/>
      <c r="E162" s="14"/>
      <c r="F162" s="14" t="s">
        <v>571</v>
      </c>
      <c r="G162" s="14"/>
      <c r="H162" s="14" t="s">
        <v>572</v>
      </c>
      <c r="I162" s="14"/>
      <c r="J162" s="14" t="s">
        <v>510</v>
      </c>
      <c r="K162" s="14"/>
      <c r="L162" s="14" t="s">
        <v>510</v>
      </c>
      <c r="M162" s="14"/>
      <c r="N162" s="14" t="s">
        <v>510</v>
      </c>
    </row>
    <row r="163" spans="2:14" ht="15" customHeight="1" x14ac:dyDescent="0.45">
      <c r="B163" s="620"/>
      <c r="C163" s="620"/>
      <c r="D163" s="620"/>
      <c r="E163" s="14"/>
      <c r="F163" s="14"/>
      <c r="G163" s="14"/>
      <c r="H163" s="14"/>
      <c r="I163" s="14"/>
      <c r="J163" s="14"/>
      <c r="K163" s="14"/>
      <c r="L163" s="14"/>
      <c r="M163" s="14"/>
      <c r="N163" s="14"/>
    </row>
    <row r="164" spans="2:14" ht="15" customHeight="1" x14ac:dyDescent="0.45">
      <c r="B164" s="621" t="s">
        <v>186</v>
      </c>
      <c r="C164" s="621"/>
      <c r="D164" s="621"/>
      <c r="E164" s="14"/>
      <c r="F164" s="14" t="s">
        <v>573</v>
      </c>
      <c r="G164" s="14"/>
      <c r="H164" s="14" t="s">
        <v>574</v>
      </c>
      <c r="I164" s="14"/>
      <c r="J164" s="14" t="s">
        <v>510</v>
      </c>
      <c r="K164" s="14"/>
      <c r="L164" s="14" t="s">
        <v>510</v>
      </c>
      <c r="M164" s="14"/>
      <c r="N164" s="14" t="s">
        <v>510</v>
      </c>
    </row>
    <row r="165" spans="2:14" ht="15" customHeight="1" x14ac:dyDescent="0.45">
      <c r="B165" s="620" t="s">
        <v>511</v>
      </c>
      <c r="C165" s="620"/>
      <c r="D165" s="620"/>
      <c r="E165" s="14"/>
      <c r="F165" s="14" t="s">
        <v>573</v>
      </c>
      <c r="G165" s="14"/>
      <c r="H165" s="14" t="s">
        <v>574</v>
      </c>
      <c r="I165" s="14"/>
      <c r="J165" s="14" t="s">
        <v>510</v>
      </c>
      <c r="K165" s="14"/>
      <c r="L165" s="14" t="s">
        <v>510</v>
      </c>
      <c r="M165" s="14"/>
      <c r="N165" s="14" t="s">
        <v>510</v>
      </c>
    </row>
    <row r="166" spans="2:14" ht="15" customHeight="1" x14ac:dyDescent="0.45">
      <c r="B166" s="620" t="s">
        <v>512</v>
      </c>
      <c r="C166" s="620"/>
      <c r="D166" s="620"/>
      <c r="E166" s="14"/>
      <c r="F166" s="14" t="s">
        <v>575</v>
      </c>
      <c r="G166" s="14"/>
      <c r="H166" s="14" t="s">
        <v>576</v>
      </c>
      <c r="I166" s="14"/>
      <c r="J166" s="14" t="s">
        <v>510</v>
      </c>
      <c r="K166" s="14"/>
      <c r="L166" s="14" t="s">
        <v>510</v>
      </c>
      <c r="M166" s="14"/>
      <c r="N166" s="14" t="s">
        <v>510</v>
      </c>
    </row>
    <row r="167" spans="2:14" ht="15" customHeight="1" x14ac:dyDescent="0.45">
      <c r="B167" s="620" t="s">
        <v>515</v>
      </c>
      <c r="C167" s="620"/>
      <c r="D167" s="620"/>
      <c r="E167" s="14"/>
      <c r="F167" s="14" t="s">
        <v>577</v>
      </c>
      <c r="G167" s="14"/>
      <c r="H167" s="14" t="s">
        <v>578</v>
      </c>
      <c r="I167" s="14"/>
      <c r="J167" s="14" t="s">
        <v>510</v>
      </c>
      <c r="K167" s="14"/>
      <c r="L167" s="14" t="s">
        <v>510</v>
      </c>
      <c r="M167" s="14"/>
      <c r="N167" s="14" t="s">
        <v>510</v>
      </c>
    </row>
    <row r="168" spans="2:14" ht="15" customHeight="1" x14ac:dyDescent="0.45">
      <c r="B168" s="620" t="s">
        <v>518</v>
      </c>
      <c r="C168" s="620"/>
      <c r="D168" s="620"/>
      <c r="E168" s="14"/>
      <c r="F168" s="14" t="s">
        <v>579</v>
      </c>
      <c r="G168" s="14"/>
      <c r="H168" s="14" t="s">
        <v>580</v>
      </c>
      <c r="I168" s="14"/>
      <c r="J168" s="14" t="s">
        <v>510</v>
      </c>
      <c r="K168" s="14"/>
      <c r="L168" s="14" t="s">
        <v>510</v>
      </c>
      <c r="M168" s="14"/>
      <c r="N168" s="14" t="s">
        <v>510</v>
      </c>
    </row>
    <row r="169" spans="2:14" ht="15" customHeight="1" x14ac:dyDescent="0.45">
      <c r="B169" s="620" t="s">
        <v>521</v>
      </c>
      <c r="C169" s="620"/>
      <c r="D169" s="620"/>
      <c r="E169" s="14"/>
      <c r="F169" s="14" t="s">
        <v>581</v>
      </c>
      <c r="G169" s="14"/>
      <c r="H169" s="14" t="s">
        <v>582</v>
      </c>
      <c r="I169" s="14"/>
      <c r="J169" s="14" t="s">
        <v>510</v>
      </c>
      <c r="K169" s="14"/>
      <c r="L169" s="14" t="s">
        <v>510</v>
      </c>
      <c r="M169" s="14"/>
      <c r="N169" s="14" t="s">
        <v>510</v>
      </c>
    </row>
    <row r="170" spans="2:14" ht="15" customHeight="1" x14ac:dyDescent="0.45">
      <c r="B170" s="620"/>
      <c r="C170" s="620"/>
      <c r="D170" s="620"/>
      <c r="E170" s="14"/>
      <c r="F170" s="14"/>
      <c r="G170" s="14"/>
      <c r="H170" s="14"/>
      <c r="I170" s="14"/>
      <c r="J170" s="14"/>
      <c r="K170" s="14"/>
      <c r="L170" s="14"/>
      <c r="M170" s="14"/>
      <c r="N170" s="14"/>
    </row>
    <row r="171" spans="2:14" ht="15" customHeight="1" x14ac:dyDescent="0.45">
      <c r="B171" s="621" t="s">
        <v>583</v>
      </c>
      <c r="C171" s="621"/>
      <c r="D171" s="621"/>
      <c r="E171" s="14"/>
      <c r="F171" s="14" t="s">
        <v>584</v>
      </c>
      <c r="G171" s="14"/>
      <c r="H171" s="14" t="s">
        <v>585</v>
      </c>
      <c r="I171" s="14"/>
      <c r="J171" s="14" t="s">
        <v>510</v>
      </c>
      <c r="K171" s="14"/>
      <c r="L171" s="14" t="s">
        <v>510</v>
      </c>
      <c r="M171" s="14"/>
      <c r="N171" s="14" t="s">
        <v>510</v>
      </c>
    </row>
    <row r="172" spans="2:14" ht="15" customHeight="1" x14ac:dyDescent="0.45">
      <c r="B172" s="620" t="s">
        <v>511</v>
      </c>
      <c r="C172" s="620"/>
      <c r="D172" s="620"/>
      <c r="E172" s="14"/>
      <c r="F172" s="14" t="s">
        <v>584</v>
      </c>
      <c r="G172" s="14"/>
      <c r="H172" s="14" t="s">
        <v>585</v>
      </c>
      <c r="I172" s="14"/>
      <c r="J172" s="14" t="s">
        <v>510</v>
      </c>
      <c r="K172" s="14"/>
      <c r="L172" s="14" t="s">
        <v>510</v>
      </c>
      <c r="M172" s="14"/>
      <c r="N172" s="14" t="s">
        <v>510</v>
      </c>
    </row>
    <row r="173" spans="2:14" ht="15" customHeight="1" x14ac:dyDescent="0.45">
      <c r="B173" s="620" t="s">
        <v>512</v>
      </c>
      <c r="C173" s="620"/>
      <c r="D173" s="620"/>
      <c r="E173" s="14"/>
      <c r="F173" s="14" t="s">
        <v>586</v>
      </c>
      <c r="G173" s="14"/>
      <c r="H173" s="14" t="s">
        <v>587</v>
      </c>
      <c r="I173" s="14"/>
      <c r="J173" s="14" t="s">
        <v>510</v>
      </c>
      <c r="K173" s="14"/>
      <c r="L173" s="14" t="s">
        <v>510</v>
      </c>
      <c r="M173" s="14"/>
      <c r="N173" s="14" t="s">
        <v>510</v>
      </c>
    </row>
    <row r="174" spans="2:14" ht="15" customHeight="1" x14ac:dyDescent="0.45">
      <c r="B174" s="620" t="s">
        <v>515</v>
      </c>
      <c r="C174" s="620"/>
      <c r="D174" s="620"/>
      <c r="E174" s="14"/>
      <c r="F174" s="14" t="s">
        <v>588</v>
      </c>
      <c r="G174" s="14"/>
      <c r="H174" s="14" t="s">
        <v>589</v>
      </c>
      <c r="I174" s="14"/>
      <c r="J174" s="14" t="s">
        <v>510</v>
      </c>
      <c r="K174" s="14"/>
      <c r="L174" s="14" t="s">
        <v>510</v>
      </c>
      <c r="M174" s="14"/>
      <c r="N174" s="14" t="s">
        <v>510</v>
      </c>
    </row>
    <row r="175" spans="2:14" ht="15" customHeight="1" x14ac:dyDescent="0.45">
      <c r="B175" s="620" t="s">
        <v>518</v>
      </c>
      <c r="C175" s="620"/>
      <c r="D175" s="620"/>
      <c r="E175" s="14"/>
      <c r="F175" s="14" t="s">
        <v>590</v>
      </c>
      <c r="G175" s="14"/>
      <c r="H175" s="14" t="s">
        <v>591</v>
      </c>
      <c r="I175" s="14"/>
      <c r="J175" s="14" t="s">
        <v>510</v>
      </c>
      <c r="K175" s="14"/>
      <c r="L175" s="14" t="s">
        <v>510</v>
      </c>
      <c r="M175" s="14"/>
      <c r="N175" s="14" t="s">
        <v>510</v>
      </c>
    </row>
    <row r="176" spans="2:14" ht="15" customHeight="1" x14ac:dyDescent="0.45">
      <c r="B176" s="620" t="s">
        <v>521</v>
      </c>
      <c r="C176" s="620"/>
      <c r="D176" s="620"/>
      <c r="E176" s="14"/>
      <c r="F176" s="14" t="s">
        <v>592</v>
      </c>
      <c r="G176" s="14"/>
      <c r="H176" s="14" t="s">
        <v>593</v>
      </c>
      <c r="I176" s="14"/>
      <c r="J176" s="14" t="s">
        <v>510</v>
      </c>
      <c r="K176" s="14"/>
      <c r="L176" s="14" t="s">
        <v>510</v>
      </c>
      <c r="M176" s="14"/>
      <c r="N176" s="14" t="s">
        <v>510</v>
      </c>
    </row>
    <row r="177" spans="2:14" ht="15" customHeight="1" x14ac:dyDescent="0.45">
      <c r="B177" s="620"/>
      <c r="C177" s="620"/>
      <c r="D177" s="620"/>
      <c r="E177" s="14"/>
      <c r="F177" s="14"/>
      <c r="G177" s="14"/>
      <c r="H177" s="14"/>
      <c r="I177" s="14"/>
      <c r="J177" s="14"/>
      <c r="K177" s="14"/>
      <c r="L177" s="14"/>
      <c r="M177" s="14"/>
      <c r="N177" s="14"/>
    </row>
    <row r="178" spans="2:14" ht="15" customHeight="1" x14ac:dyDescent="0.45">
      <c r="B178" s="621" t="s">
        <v>594</v>
      </c>
      <c r="C178" s="621"/>
      <c r="D178" s="621"/>
      <c r="E178" s="14"/>
      <c r="F178" s="14" t="s">
        <v>595</v>
      </c>
      <c r="G178" s="14"/>
      <c r="H178" s="14" t="s">
        <v>596</v>
      </c>
      <c r="I178" s="14"/>
      <c r="J178" s="14" t="s">
        <v>510</v>
      </c>
      <c r="K178" s="14"/>
      <c r="L178" s="14" t="s">
        <v>510</v>
      </c>
      <c r="M178" s="14"/>
      <c r="N178" s="14" t="s">
        <v>510</v>
      </c>
    </row>
    <row r="179" spans="2:14" ht="15" customHeight="1" x14ac:dyDescent="0.45">
      <c r="B179" s="620" t="s">
        <v>511</v>
      </c>
      <c r="C179" s="620"/>
      <c r="D179" s="620"/>
      <c r="E179" s="14"/>
      <c r="F179" s="14" t="s">
        <v>595</v>
      </c>
      <c r="G179" s="14"/>
      <c r="H179" s="14" t="s">
        <v>596</v>
      </c>
      <c r="I179" s="14"/>
      <c r="J179" s="14" t="s">
        <v>510</v>
      </c>
      <c r="K179" s="14"/>
      <c r="L179" s="14" t="s">
        <v>510</v>
      </c>
      <c r="M179" s="14"/>
      <c r="N179" s="14" t="s">
        <v>510</v>
      </c>
    </row>
    <row r="180" spans="2:14" ht="15" customHeight="1" x14ac:dyDescent="0.45">
      <c r="B180" s="620" t="s">
        <v>512</v>
      </c>
      <c r="C180" s="620"/>
      <c r="D180" s="620"/>
      <c r="E180" s="14"/>
      <c r="F180" s="14" t="s">
        <v>597</v>
      </c>
      <c r="G180" s="14"/>
      <c r="H180" s="14" t="s">
        <v>598</v>
      </c>
      <c r="I180" s="14"/>
      <c r="J180" s="14" t="s">
        <v>510</v>
      </c>
      <c r="K180" s="14"/>
      <c r="L180" s="14" t="s">
        <v>510</v>
      </c>
      <c r="M180" s="14"/>
      <c r="N180" s="14" t="s">
        <v>510</v>
      </c>
    </row>
    <row r="181" spans="2:14" ht="15" customHeight="1" x14ac:dyDescent="0.45">
      <c r="B181" s="620" t="s">
        <v>515</v>
      </c>
      <c r="C181" s="620"/>
      <c r="D181" s="620"/>
      <c r="E181" s="14"/>
      <c r="F181" s="14" t="s">
        <v>599</v>
      </c>
      <c r="G181" s="14"/>
      <c r="H181" s="14" t="s">
        <v>600</v>
      </c>
      <c r="I181" s="14"/>
      <c r="J181" s="14" t="s">
        <v>510</v>
      </c>
      <c r="K181" s="14"/>
      <c r="L181" s="14" t="s">
        <v>510</v>
      </c>
      <c r="M181" s="14"/>
      <c r="N181" s="14" t="s">
        <v>510</v>
      </c>
    </row>
    <row r="182" spans="2:14" ht="15" customHeight="1" x14ac:dyDescent="0.45">
      <c r="B182" s="620" t="s">
        <v>518</v>
      </c>
      <c r="C182" s="620"/>
      <c r="D182" s="620"/>
      <c r="E182" s="14"/>
      <c r="F182" s="14" t="s">
        <v>601</v>
      </c>
      <c r="G182" s="14"/>
      <c r="H182" s="14" t="s">
        <v>602</v>
      </c>
      <c r="I182" s="14"/>
      <c r="J182" s="14" t="s">
        <v>510</v>
      </c>
      <c r="K182" s="14"/>
      <c r="L182" s="14" t="s">
        <v>510</v>
      </c>
      <c r="M182" s="14"/>
      <c r="N182" s="14" t="s">
        <v>510</v>
      </c>
    </row>
    <row r="183" spans="2:14" ht="15" customHeight="1" x14ac:dyDescent="0.45">
      <c r="B183" s="620" t="s">
        <v>521</v>
      </c>
      <c r="C183" s="620"/>
      <c r="D183" s="620"/>
      <c r="E183" s="14"/>
      <c r="F183" s="14" t="s">
        <v>603</v>
      </c>
      <c r="G183" s="14"/>
      <c r="H183" s="14" t="s">
        <v>604</v>
      </c>
      <c r="I183" s="14"/>
      <c r="J183" s="14" t="s">
        <v>510</v>
      </c>
      <c r="K183" s="14"/>
      <c r="L183" s="14" t="s">
        <v>510</v>
      </c>
      <c r="M183" s="14"/>
      <c r="N183" s="14" t="s">
        <v>510</v>
      </c>
    </row>
    <row r="184" spans="2:14" ht="15" customHeight="1" x14ac:dyDescent="0.45">
      <c r="B184" s="620"/>
      <c r="C184" s="620"/>
      <c r="D184" s="620"/>
      <c r="E184" s="14"/>
      <c r="F184" s="14"/>
      <c r="G184" s="14"/>
      <c r="H184" s="14"/>
      <c r="I184" s="14"/>
      <c r="J184" s="14"/>
      <c r="K184" s="14"/>
      <c r="L184" s="14"/>
      <c r="M184" s="14"/>
      <c r="N184" s="14"/>
    </row>
    <row r="185" spans="2:14" ht="15" customHeight="1" x14ac:dyDescent="0.45">
      <c r="B185" s="621" t="s">
        <v>605</v>
      </c>
      <c r="C185" s="621"/>
      <c r="D185" s="621"/>
      <c r="E185" s="14"/>
      <c r="F185" s="14" t="s">
        <v>606</v>
      </c>
      <c r="G185" s="14"/>
      <c r="H185" s="14" t="s">
        <v>607</v>
      </c>
      <c r="I185" s="14"/>
      <c r="J185" s="14" t="s">
        <v>510</v>
      </c>
      <c r="K185" s="14"/>
      <c r="L185" s="14" t="s">
        <v>510</v>
      </c>
      <c r="M185" s="14"/>
      <c r="N185" s="14" t="s">
        <v>510</v>
      </c>
    </row>
    <row r="186" spans="2:14" ht="15" customHeight="1" x14ac:dyDescent="0.45">
      <c r="B186" s="620" t="s">
        <v>511</v>
      </c>
      <c r="C186" s="620"/>
      <c r="D186" s="620"/>
      <c r="E186" s="14"/>
      <c r="F186" s="14" t="s">
        <v>606</v>
      </c>
      <c r="G186" s="14"/>
      <c r="H186" s="14" t="s">
        <v>607</v>
      </c>
      <c r="I186" s="14"/>
      <c r="J186" s="14" t="s">
        <v>510</v>
      </c>
      <c r="K186" s="14"/>
      <c r="L186" s="14" t="s">
        <v>510</v>
      </c>
      <c r="M186" s="14"/>
      <c r="N186" s="14" t="s">
        <v>510</v>
      </c>
    </row>
    <row r="187" spans="2:14" ht="15" customHeight="1" x14ac:dyDescent="0.45">
      <c r="B187" s="620" t="s">
        <v>512</v>
      </c>
      <c r="C187" s="620"/>
      <c r="D187" s="620"/>
      <c r="E187" s="14"/>
      <c r="F187" s="14" t="s">
        <v>606</v>
      </c>
      <c r="G187" s="14"/>
      <c r="H187" s="14" t="s">
        <v>608</v>
      </c>
      <c r="I187" s="14"/>
      <c r="J187" s="14" t="s">
        <v>510</v>
      </c>
      <c r="K187" s="14"/>
      <c r="L187" s="14" t="s">
        <v>510</v>
      </c>
      <c r="M187" s="14"/>
      <c r="N187" s="14" t="s">
        <v>510</v>
      </c>
    </row>
    <row r="188" spans="2:14" ht="15" customHeight="1" x14ac:dyDescent="0.45">
      <c r="B188" s="620" t="s">
        <v>515</v>
      </c>
      <c r="C188" s="620"/>
      <c r="D188" s="620"/>
      <c r="E188" s="14"/>
      <c r="F188" s="14" t="s">
        <v>609</v>
      </c>
      <c r="G188" s="14"/>
      <c r="H188" s="14" t="s">
        <v>609</v>
      </c>
      <c r="I188" s="14"/>
      <c r="J188" s="14" t="s">
        <v>510</v>
      </c>
      <c r="K188" s="14"/>
      <c r="L188" s="14" t="s">
        <v>510</v>
      </c>
      <c r="M188" s="14"/>
      <c r="N188" s="14" t="s">
        <v>510</v>
      </c>
    </row>
    <row r="189" spans="2:14" ht="15" customHeight="1" x14ac:dyDescent="0.45">
      <c r="B189" s="620" t="s">
        <v>518</v>
      </c>
      <c r="C189" s="620"/>
      <c r="D189" s="620"/>
      <c r="E189" s="14"/>
      <c r="F189" s="14" t="s">
        <v>610</v>
      </c>
      <c r="G189" s="14"/>
      <c r="H189" s="14" t="s">
        <v>611</v>
      </c>
      <c r="I189" s="14"/>
      <c r="J189" s="14" t="s">
        <v>510</v>
      </c>
      <c r="K189" s="14"/>
      <c r="L189" s="14" t="s">
        <v>510</v>
      </c>
      <c r="M189" s="14"/>
      <c r="N189" s="14" t="s">
        <v>510</v>
      </c>
    </row>
    <row r="190" spans="2:14" ht="15" customHeight="1" x14ac:dyDescent="0.45">
      <c r="B190" s="620" t="s">
        <v>521</v>
      </c>
      <c r="C190" s="620"/>
      <c r="D190" s="620"/>
      <c r="E190" s="14"/>
      <c r="F190" s="14" t="s">
        <v>612</v>
      </c>
      <c r="G190" s="14"/>
      <c r="H190" s="14" t="s">
        <v>613</v>
      </c>
      <c r="I190" s="14"/>
      <c r="J190" s="14" t="s">
        <v>510</v>
      </c>
      <c r="K190" s="14"/>
      <c r="L190" s="14" t="s">
        <v>510</v>
      </c>
      <c r="M190" s="14"/>
      <c r="N190" s="14" t="s">
        <v>510</v>
      </c>
    </row>
    <row r="191" spans="2:14" ht="15" customHeight="1" x14ac:dyDescent="0.45">
      <c r="B191" s="620"/>
      <c r="C191" s="620"/>
      <c r="D191" s="620"/>
      <c r="E191" s="14"/>
      <c r="F191" s="14"/>
      <c r="G191" s="14"/>
      <c r="H191" s="14"/>
      <c r="I191" s="14"/>
      <c r="J191" s="14"/>
      <c r="K191" s="14"/>
      <c r="L191" s="14"/>
      <c r="M191" s="14"/>
      <c r="N191" s="14"/>
    </row>
    <row r="192" spans="2:14" ht="15" customHeight="1" x14ac:dyDescent="0.45">
      <c r="B192" s="621" t="s">
        <v>614</v>
      </c>
      <c r="C192" s="621"/>
      <c r="D192" s="621"/>
      <c r="E192" s="14"/>
      <c r="F192" s="14" t="s">
        <v>615</v>
      </c>
      <c r="G192" s="14"/>
      <c r="H192" s="14" t="s">
        <v>616</v>
      </c>
      <c r="I192" s="14"/>
      <c r="J192" s="14" t="s">
        <v>510</v>
      </c>
      <c r="K192" s="14"/>
      <c r="L192" s="14" t="s">
        <v>510</v>
      </c>
      <c r="M192" s="14"/>
      <c r="N192" s="14" t="s">
        <v>510</v>
      </c>
    </row>
    <row r="193" spans="2:14" ht="15" customHeight="1" x14ac:dyDescent="0.45">
      <c r="B193" s="620" t="s">
        <v>511</v>
      </c>
      <c r="C193" s="620"/>
      <c r="D193" s="620"/>
      <c r="E193" s="14"/>
      <c r="F193" s="14" t="s">
        <v>615</v>
      </c>
      <c r="G193" s="14"/>
      <c r="H193" s="14" t="s">
        <v>616</v>
      </c>
      <c r="I193" s="14"/>
      <c r="J193" s="14" t="s">
        <v>510</v>
      </c>
      <c r="K193" s="14"/>
      <c r="L193" s="14" t="s">
        <v>510</v>
      </c>
      <c r="M193" s="14"/>
      <c r="N193" s="14" t="s">
        <v>510</v>
      </c>
    </row>
    <row r="194" spans="2:14" ht="15" customHeight="1" x14ac:dyDescent="0.45">
      <c r="B194" s="620" t="s">
        <v>512</v>
      </c>
      <c r="C194" s="620"/>
      <c r="D194" s="620"/>
      <c r="E194" s="14"/>
      <c r="F194" s="14" t="s">
        <v>617</v>
      </c>
      <c r="G194" s="14"/>
      <c r="H194" s="14" t="s">
        <v>618</v>
      </c>
      <c r="I194" s="14"/>
      <c r="J194" s="14" t="s">
        <v>510</v>
      </c>
      <c r="K194" s="14"/>
      <c r="L194" s="14" t="s">
        <v>510</v>
      </c>
      <c r="M194" s="14"/>
      <c r="N194" s="14" t="s">
        <v>510</v>
      </c>
    </row>
    <row r="195" spans="2:14" ht="15" customHeight="1" x14ac:dyDescent="0.45">
      <c r="B195" s="620" t="s">
        <v>515</v>
      </c>
      <c r="C195" s="620"/>
      <c r="D195" s="620"/>
      <c r="E195" s="14"/>
      <c r="F195" s="14" t="s">
        <v>619</v>
      </c>
      <c r="G195" s="14"/>
      <c r="H195" s="14" t="s">
        <v>620</v>
      </c>
      <c r="I195" s="14"/>
      <c r="J195" s="14" t="s">
        <v>510</v>
      </c>
      <c r="K195" s="14"/>
      <c r="L195" s="14" t="s">
        <v>510</v>
      </c>
      <c r="M195" s="14"/>
      <c r="N195" s="14" t="s">
        <v>510</v>
      </c>
    </row>
    <row r="196" spans="2:14" ht="15" customHeight="1" x14ac:dyDescent="0.45">
      <c r="B196" s="620" t="s">
        <v>518</v>
      </c>
      <c r="C196" s="620"/>
      <c r="D196" s="620"/>
      <c r="E196" s="14"/>
      <c r="F196" s="14" t="s">
        <v>621</v>
      </c>
      <c r="G196" s="14"/>
      <c r="H196" s="14" t="s">
        <v>622</v>
      </c>
      <c r="I196" s="14"/>
      <c r="J196" s="14" t="s">
        <v>510</v>
      </c>
      <c r="K196" s="14"/>
      <c r="L196" s="14" t="s">
        <v>510</v>
      </c>
      <c r="M196" s="14"/>
      <c r="N196" s="14" t="s">
        <v>510</v>
      </c>
    </row>
    <row r="197" spans="2:14" ht="15" customHeight="1" x14ac:dyDescent="0.45">
      <c r="B197" s="620" t="s">
        <v>521</v>
      </c>
      <c r="C197" s="620"/>
      <c r="D197" s="620"/>
      <c r="E197" s="14"/>
      <c r="F197" s="14" t="s">
        <v>623</v>
      </c>
      <c r="G197" s="14"/>
      <c r="H197" s="14" t="s">
        <v>624</v>
      </c>
      <c r="I197" s="14"/>
      <c r="J197" s="14" t="s">
        <v>510</v>
      </c>
      <c r="K197" s="14"/>
      <c r="L197" s="14" t="s">
        <v>510</v>
      </c>
      <c r="M197" s="14"/>
      <c r="N197" s="14" t="s">
        <v>510</v>
      </c>
    </row>
    <row r="198" spans="2:14" ht="15" customHeight="1" x14ac:dyDescent="0.45">
      <c r="B198" s="620"/>
      <c r="C198" s="620"/>
      <c r="D198" s="620"/>
      <c r="E198" s="14"/>
      <c r="F198" s="14"/>
      <c r="G198" s="14"/>
      <c r="H198" s="14"/>
      <c r="I198" s="14"/>
      <c r="J198" s="14"/>
      <c r="K198" s="14"/>
      <c r="L198" s="14"/>
      <c r="M198" s="14"/>
      <c r="N198" s="14"/>
    </row>
    <row r="199" spans="2:14" ht="15" customHeight="1" x14ac:dyDescent="0.45">
      <c r="B199" s="621" t="s">
        <v>625</v>
      </c>
      <c r="C199" s="621"/>
      <c r="D199" s="621"/>
      <c r="E199" s="14"/>
      <c r="F199" s="14" t="s">
        <v>626</v>
      </c>
      <c r="G199" s="14"/>
      <c r="H199" s="14" t="s">
        <v>627</v>
      </c>
      <c r="I199" s="14"/>
      <c r="J199" s="14" t="s">
        <v>510</v>
      </c>
      <c r="K199" s="14"/>
      <c r="L199" s="14" t="s">
        <v>510</v>
      </c>
      <c r="M199" s="14"/>
      <c r="N199" s="14" t="s">
        <v>510</v>
      </c>
    </row>
    <row r="200" spans="2:14" ht="15" customHeight="1" x14ac:dyDescent="0.45">
      <c r="B200" s="620" t="s">
        <v>511</v>
      </c>
      <c r="C200" s="620"/>
      <c r="D200" s="620"/>
      <c r="E200" s="14"/>
      <c r="F200" s="14" t="s">
        <v>626</v>
      </c>
      <c r="G200" s="14"/>
      <c r="H200" s="14" t="s">
        <v>627</v>
      </c>
      <c r="I200" s="14"/>
      <c r="J200" s="14" t="s">
        <v>510</v>
      </c>
      <c r="K200" s="14"/>
      <c r="L200" s="14" t="s">
        <v>510</v>
      </c>
      <c r="M200" s="14"/>
      <c r="N200" s="14" t="s">
        <v>510</v>
      </c>
    </row>
    <row r="201" spans="2:14" ht="15" customHeight="1" x14ac:dyDescent="0.45">
      <c r="B201" s="620" t="s">
        <v>512</v>
      </c>
      <c r="C201" s="620"/>
      <c r="D201" s="620"/>
      <c r="E201" s="14"/>
      <c r="F201" s="14" t="s">
        <v>628</v>
      </c>
      <c r="G201" s="14"/>
      <c r="H201" s="14" t="s">
        <v>629</v>
      </c>
      <c r="I201" s="14"/>
      <c r="J201" s="14" t="s">
        <v>510</v>
      </c>
      <c r="K201" s="14"/>
      <c r="L201" s="14" t="s">
        <v>510</v>
      </c>
      <c r="M201" s="14"/>
      <c r="N201" s="14" t="s">
        <v>510</v>
      </c>
    </row>
    <row r="202" spans="2:14" ht="15" customHeight="1" x14ac:dyDescent="0.45">
      <c r="B202" s="620" t="s">
        <v>515</v>
      </c>
      <c r="C202" s="620"/>
      <c r="D202" s="620"/>
      <c r="E202" s="14"/>
      <c r="F202" s="14" t="s">
        <v>630</v>
      </c>
      <c r="G202" s="14"/>
      <c r="H202" s="14" t="s">
        <v>631</v>
      </c>
      <c r="I202" s="14"/>
      <c r="J202" s="14" t="s">
        <v>510</v>
      </c>
      <c r="K202" s="14"/>
      <c r="L202" s="14" t="s">
        <v>510</v>
      </c>
      <c r="M202" s="14"/>
      <c r="N202" s="14" t="s">
        <v>510</v>
      </c>
    </row>
    <row r="203" spans="2:14" ht="15" customHeight="1" x14ac:dyDescent="0.45">
      <c r="B203" s="620" t="s">
        <v>518</v>
      </c>
      <c r="C203" s="620"/>
      <c r="D203" s="620"/>
      <c r="E203" s="14"/>
      <c r="F203" s="14" t="s">
        <v>632</v>
      </c>
      <c r="G203" s="14"/>
      <c r="H203" s="14" t="s">
        <v>633</v>
      </c>
      <c r="I203" s="14"/>
      <c r="J203" s="14" t="s">
        <v>510</v>
      </c>
      <c r="K203" s="14"/>
      <c r="L203" s="14" t="s">
        <v>510</v>
      </c>
      <c r="M203" s="14"/>
      <c r="N203" s="14" t="s">
        <v>510</v>
      </c>
    </row>
    <row r="204" spans="2:14" ht="15" customHeight="1" x14ac:dyDescent="0.45">
      <c r="B204" s="620" t="s">
        <v>521</v>
      </c>
      <c r="C204" s="620"/>
      <c r="D204" s="620"/>
      <c r="E204" s="14"/>
      <c r="F204" s="14" t="s">
        <v>634</v>
      </c>
      <c r="G204" s="14"/>
      <c r="H204" s="14" t="s">
        <v>635</v>
      </c>
      <c r="I204" s="14"/>
      <c r="J204" s="14" t="s">
        <v>510</v>
      </c>
      <c r="K204" s="14"/>
      <c r="L204" s="14" t="s">
        <v>510</v>
      </c>
      <c r="M204" s="14"/>
      <c r="N204" s="14" t="s">
        <v>510</v>
      </c>
    </row>
    <row r="205" spans="2:14" ht="15" customHeight="1" x14ac:dyDescent="0.45">
      <c r="B205" s="620"/>
      <c r="C205" s="620"/>
      <c r="D205" s="620"/>
      <c r="E205" s="14"/>
      <c r="F205" s="14"/>
      <c r="G205" s="14"/>
      <c r="H205" s="14"/>
      <c r="I205" s="14"/>
      <c r="J205" s="14"/>
      <c r="K205" s="14"/>
      <c r="L205" s="14"/>
      <c r="M205" s="14"/>
      <c r="N205" s="14"/>
    </row>
    <row r="206" spans="2:14" ht="15" customHeight="1" x14ac:dyDescent="0.45">
      <c r="B206" s="621" t="s">
        <v>53</v>
      </c>
      <c r="C206" s="621"/>
      <c r="D206" s="621"/>
      <c r="E206" s="14"/>
      <c r="F206" s="14" t="s">
        <v>636</v>
      </c>
      <c r="G206" s="14"/>
      <c r="H206" s="14" t="s">
        <v>637</v>
      </c>
      <c r="I206" s="14"/>
      <c r="J206" s="14" t="s">
        <v>510</v>
      </c>
      <c r="K206" s="14"/>
      <c r="L206" s="14" t="s">
        <v>510</v>
      </c>
      <c r="M206" s="14"/>
      <c r="N206" s="14" t="s">
        <v>510</v>
      </c>
    </row>
    <row r="207" spans="2:14" ht="15" customHeight="1" x14ac:dyDescent="0.45">
      <c r="B207" s="620" t="s">
        <v>511</v>
      </c>
      <c r="C207" s="620"/>
      <c r="D207" s="620"/>
      <c r="E207" s="14"/>
      <c r="F207" s="14" t="s">
        <v>636</v>
      </c>
      <c r="G207" s="14"/>
      <c r="H207" s="14" t="s">
        <v>637</v>
      </c>
      <c r="I207" s="14"/>
      <c r="J207" s="14" t="s">
        <v>510</v>
      </c>
      <c r="K207" s="14"/>
      <c r="L207" s="14" t="s">
        <v>510</v>
      </c>
      <c r="M207" s="14"/>
      <c r="N207" s="14" t="s">
        <v>510</v>
      </c>
    </row>
    <row r="208" spans="2:14" ht="15" customHeight="1" x14ac:dyDescent="0.45">
      <c r="B208" s="620" t="s">
        <v>512</v>
      </c>
      <c r="C208" s="620"/>
      <c r="D208" s="620"/>
      <c r="E208" s="14"/>
      <c r="F208" s="14" t="s">
        <v>638</v>
      </c>
      <c r="G208" s="14"/>
      <c r="H208" s="14" t="s">
        <v>639</v>
      </c>
      <c r="I208" s="14"/>
      <c r="J208" s="14" t="s">
        <v>510</v>
      </c>
      <c r="K208" s="14"/>
      <c r="L208" s="14" t="s">
        <v>510</v>
      </c>
      <c r="M208" s="14"/>
      <c r="N208" s="14" t="s">
        <v>510</v>
      </c>
    </row>
    <row r="209" spans="2:14" ht="15" customHeight="1" x14ac:dyDescent="0.45">
      <c r="B209" s="620" t="s">
        <v>515</v>
      </c>
      <c r="C209" s="620"/>
      <c r="D209" s="620"/>
      <c r="E209" s="14"/>
      <c r="F209" s="14" t="s">
        <v>638</v>
      </c>
      <c r="G209" s="14"/>
      <c r="H209" s="14" t="s">
        <v>639</v>
      </c>
      <c r="I209" s="14"/>
      <c r="J209" s="14" t="s">
        <v>510</v>
      </c>
      <c r="K209" s="14"/>
      <c r="L209" s="14" t="s">
        <v>510</v>
      </c>
      <c r="M209" s="14"/>
      <c r="N209" s="14" t="s">
        <v>510</v>
      </c>
    </row>
    <row r="210" spans="2:14" ht="15" customHeight="1" x14ac:dyDescent="0.45">
      <c r="B210" s="620" t="s">
        <v>518</v>
      </c>
      <c r="C210" s="620"/>
      <c r="D210" s="620"/>
      <c r="E210" s="14"/>
      <c r="F210" s="14" t="s">
        <v>638</v>
      </c>
      <c r="G210" s="14"/>
      <c r="H210" s="14" t="s">
        <v>639</v>
      </c>
      <c r="I210" s="14"/>
      <c r="J210" s="14" t="s">
        <v>510</v>
      </c>
      <c r="K210" s="14"/>
      <c r="L210" s="14" t="s">
        <v>510</v>
      </c>
      <c r="M210" s="14"/>
      <c r="N210" s="14" t="s">
        <v>510</v>
      </c>
    </row>
    <row r="211" spans="2:14" ht="15" customHeight="1" x14ac:dyDescent="0.45">
      <c r="B211" s="620" t="s">
        <v>521</v>
      </c>
      <c r="C211" s="620"/>
      <c r="D211" s="620"/>
      <c r="E211" s="14"/>
      <c r="F211" s="14" t="s">
        <v>638</v>
      </c>
      <c r="G211" s="14"/>
      <c r="H211" s="14" t="s">
        <v>639</v>
      </c>
      <c r="I211" s="14"/>
      <c r="J211" s="14" t="s">
        <v>510</v>
      </c>
      <c r="K211" s="14"/>
      <c r="L211" s="14" t="s">
        <v>510</v>
      </c>
      <c r="M211" s="14"/>
      <c r="N211" s="14" t="s">
        <v>510</v>
      </c>
    </row>
    <row r="212" spans="2:14" ht="15" customHeight="1" x14ac:dyDescent="0.45">
      <c r="B212" s="620"/>
      <c r="C212" s="620"/>
      <c r="D212" s="620"/>
      <c r="E212" s="14"/>
      <c r="F212" s="14"/>
      <c r="G212" s="14"/>
      <c r="H212" s="14"/>
      <c r="I212" s="14"/>
      <c r="J212" s="14"/>
      <c r="K212" s="14"/>
      <c r="L212" s="14"/>
      <c r="M212" s="14"/>
      <c r="N212" s="14"/>
    </row>
    <row r="213" spans="2:14" ht="15" customHeight="1" x14ac:dyDescent="0.45">
      <c r="B213" s="621" t="s">
        <v>189</v>
      </c>
      <c r="C213" s="621"/>
      <c r="D213" s="621"/>
      <c r="E213" s="14"/>
      <c r="F213" s="14" t="s">
        <v>640</v>
      </c>
      <c r="G213" s="14"/>
      <c r="H213" s="14" t="s">
        <v>641</v>
      </c>
      <c r="I213" s="14"/>
      <c r="J213" s="14" t="s">
        <v>510</v>
      </c>
      <c r="K213" s="14"/>
      <c r="L213" s="14" t="s">
        <v>510</v>
      </c>
      <c r="M213" s="14"/>
      <c r="N213" s="14" t="s">
        <v>510</v>
      </c>
    </row>
    <row r="214" spans="2:14" ht="15" customHeight="1" x14ac:dyDescent="0.45">
      <c r="B214" s="620" t="s">
        <v>511</v>
      </c>
      <c r="C214" s="620"/>
      <c r="D214" s="620"/>
      <c r="E214" s="14"/>
      <c r="F214" s="14" t="s">
        <v>640</v>
      </c>
      <c r="G214" s="14"/>
      <c r="H214" s="14" t="s">
        <v>641</v>
      </c>
      <c r="I214" s="14"/>
      <c r="J214" s="14" t="s">
        <v>510</v>
      </c>
      <c r="K214" s="14"/>
      <c r="L214" s="14" t="s">
        <v>510</v>
      </c>
      <c r="M214" s="14"/>
      <c r="N214" s="14" t="s">
        <v>510</v>
      </c>
    </row>
    <row r="215" spans="2:14" ht="15" customHeight="1" x14ac:dyDescent="0.45">
      <c r="B215" s="620" t="s">
        <v>512</v>
      </c>
      <c r="C215" s="620"/>
      <c r="D215" s="620"/>
      <c r="E215" s="14"/>
      <c r="F215" s="14" t="s">
        <v>642</v>
      </c>
      <c r="G215" s="14"/>
      <c r="H215" s="14" t="s">
        <v>643</v>
      </c>
      <c r="I215" s="14"/>
      <c r="J215" s="14" t="s">
        <v>510</v>
      </c>
      <c r="K215" s="14"/>
      <c r="L215" s="14" t="s">
        <v>510</v>
      </c>
      <c r="M215" s="14"/>
      <c r="N215" s="14" t="s">
        <v>510</v>
      </c>
    </row>
    <row r="216" spans="2:14" ht="15" customHeight="1" x14ac:dyDescent="0.45">
      <c r="B216" s="620" t="s">
        <v>515</v>
      </c>
      <c r="C216" s="620"/>
      <c r="D216" s="620"/>
      <c r="E216" s="14"/>
      <c r="F216" s="14" t="s">
        <v>644</v>
      </c>
      <c r="G216" s="14"/>
      <c r="H216" s="14" t="s">
        <v>645</v>
      </c>
      <c r="I216" s="14"/>
      <c r="J216" s="14" t="s">
        <v>510</v>
      </c>
      <c r="K216" s="14"/>
      <c r="L216" s="14" t="s">
        <v>510</v>
      </c>
      <c r="M216" s="14"/>
      <c r="N216" s="14" t="s">
        <v>510</v>
      </c>
    </row>
    <row r="217" spans="2:14" ht="15" customHeight="1" x14ac:dyDescent="0.45">
      <c r="B217" s="620" t="s">
        <v>518</v>
      </c>
      <c r="C217" s="620"/>
      <c r="D217" s="620"/>
      <c r="E217" s="14"/>
      <c r="F217" s="14" t="s">
        <v>646</v>
      </c>
      <c r="G217" s="14"/>
      <c r="H217" s="14" t="s">
        <v>647</v>
      </c>
      <c r="I217" s="14"/>
      <c r="J217" s="14" t="s">
        <v>510</v>
      </c>
      <c r="K217" s="14"/>
      <c r="L217" s="14" t="s">
        <v>510</v>
      </c>
      <c r="M217" s="14"/>
      <c r="N217" s="14" t="s">
        <v>510</v>
      </c>
    </row>
    <row r="218" spans="2:14" ht="15" customHeight="1" x14ac:dyDescent="0.45">
      <c r="B218" s="620" t="s">
        <v>521</v>
      </c>
      <c r="C218" s="620"/>
      <c r="D218" s="620"/>
      <c r="E218" s="14"/>
      <c r="F218" s="14" t="s">
        <v>648</v>
      </c>
      <c r="G218" s="14"/>
      <c r="H218" s="14" t="s">
        <v>577</v>
      </c>
      <c r="I218" s="14"/>
      <c r="J218" s="14" t="s">
        <v>510</v>
      </c>
      <c r="K218" s="14"/>
      <c r="L218" s="14" t="s">
        <v>510</v>
      </c>
      <c r="M218" s="14"/>
      <c r="N218" s="14" t="s">
        <v>510</v>
      </c>
    </row>
    <row r="219" spans="2:14" ht="15" customHeight="1" x14ac:dyDescent="0.45">
      <c r="B219" s="620"/>
      <c r="C219" s="620"/>
      <c r="D219" s="620"/>
      <c r="E219" s="14"/>
      <c r="F219" s="14"/>
      <c r="G219" s="14"/>
      <c r="H219" s="14"/>
      <c r="I219" s="14"/>
      <c r="J219" s="14"/>
      <c r="K219" s="14"/>
      <c r="L219" s="14"/>
      <c r="M219" s="14"/>
      <c r="N219" s="14"/>
    </row>
    <row r="220" spans="2:14" ht="15" customHeight="1" x14ac:dyDescent="0.45">
      <c r="B220" s="621" t="s">
        <v>495</v>
      </c>
      <c r="C220" s="621"/>
      <c r="D220" s="621"/>
      <c r="E220" s="14"/>
      <c r="F220" s="14" t="s">
        <v>649</v>
      </c>
      <c r="G220" s="14"/>
      <c r="H220" s="14" t="s">
        <v>650</v>
      </c>
      <c r="I220" s="14"/>
      <c r="J220" s="14" t="s">
        <v>510</v>
      </c>
      <c r="K220" s="14"/>
      <c r="L220" s="14" t="s">
        <v>510</v>
      </c>
      <c r="M220" s="14"/>
      <c r="N220" s="14" t="s">
        <v>510</v>
      </c>
    </row>
    <row r="221" spans="2:14" ht="15" customHeight="1" x14ac:dyDescent="0.45">
      <c r="B221" s="620" t="s">
        <v>511</v>
      </c>
      <c r="C221" s="620"/>
      <c r="D221" s="620"/>
      <c r="E221" s="14"/>
      <c r="F221" s="14" t="s">
        <v>649</v>
      </c>
      <c r="G221" s="14"/>
      <c r="H221" s="14" t="s">
        <v>650</v>
      </c>
      <c r="I221" s="14"/>
      <c r="J221" s="14" t="s">
        <v>510</v>
      </c>
      <c r="K221" s="14"/>
      <c r="L221" s="14" t="s">
        <v>510</v>
      </c>
      <c r="M221" s="14"/>
      <c r="N221" s="14" t="s">
        <v>510</v>
      </c>
    </row>
    <row r="222" spans="2:14" ht="15" customHeight="1" x14ac:dyDescent="0.45">
      <c r="B222" s="620" t="s">
        <v>512</v>
      </c>
      <c r="C222" s="620"/>
      <c r="D222" s="620"/>
      <c r="E222" s="14"/>
      <c r="F222" s="14" t="s">
        <v>651</v>
      </c>
      <c r="G222" s="14"/>
      <c r="H222" s="14" t="s">
        <v>652</v>
      </c>
      <c r="I222" s="14"/>
      <c r="J222" s="14" t="s">
        <v>510</v>
      </c>
      <c r="K222" s="14"/>
      <c r="L222" s="14" t="s">
        <v>510</v>
      </c>
      <c r="M222" s="14"/>
      <c r="N222" s="14" t="s">
        <v>510</v>
      </c>
    </row>
    <row r="223" spans="2:14" ht="15" customHeight="1" x14ac:dyDescent="0.45">
      <c r="B223" s="620" t="s">
        <v>515</v>
      </c>
      <c r="C223" s="620"/>
      <c r="D223" s="620"/>
      <c r="E223" s="14"/>
      <c r="F223" s="14" t="s">
        <v>559</v>
      </c>
      <c r="G223" s="14"/>
      <c r="H223" s="14" t="s">
        <v>653</v>
      </c>
      <c r="I223" s="14"/>
      <c r="J223" s="14" t="s">
        <v>510</v>
      </c>
      <c r="K223" s="14"/>
      <c r="L223" s="14" t="s">
        <v>510</v>
      </c>
      <c r="M223" s="14"/>
      <c r="N223" s="14" t="s">
        <v>510</v>
      </c>
    </row>
    <row r="224" spans="2:14" ht="15" customHeight="1" x14ac:dyDescent="0.45">
      <c r="B224" s="620" t="s">
        <v>518</v>
      </c>
      <c r="C224" s="620"/>
      <c r="D224" s="620"/>
      <c r="E224" s="14"/>
      <c r="F224" s="14" t="s">
        <v>654</v>
      </c>
      <c r="G224" s="14"/>
      <c r="H224" s="14" t="s">
        <v>655</v>
      </c>
      <c r="I224" s="14"/>
      <c r="J224" s="14" t="s">
        <v>510</v>
      </c>
      <c r="K224" s="14"/>
      <c r="L224" s="14" t="s">
        <v>510</v>
      </c>
      <c r="M224" s="14"/>
      <c r="N224" s="14" t="s">
        <v>510</v>
      </c>
    </row>
    <row r="225" spans="2:14" ht="15" customHeight="1" x14ac:dyDescent="0.45">
      <c r="B225" s="620" t="s">
        <v>521</v>
      </c>
      <c r="C225" s="620"/>
      <c r="D225" s="620"/>
      <c r="E225" s="14"/>
      <c r="F225" s="14" t="s">
        <v>656</v>
      </c>
      <c r="G225" s="14"/>
      <c r="H225" s="14" t="s">
        <v>657</v>
      </c>
      <c r="I225" s="14"/>
      <c r="J225" s="14" t="s">
        <v>510</v>
      </c>
      <c r="K225" s="14"/>
      <c r="L225" s="14" t="s">
        <v>510</v>
      </c>
      <c r="M225" s="14"/>
      <c r="N225" s="14" t="s">
        <v>510</v>
      </c>
    </row>
    <row r="226" spans="2:14" ht="15" customHeight="1" x14ac:dyDescent="0.45">
      <c r="B226" s="620"/>
      <c r="C226" s="620"/>
      <c r="D226" s="620"/>
      <c r="E226" s="14"/>
      <c r="F226" s="14"/>
      <c r="G226" s="14"/>
      <c r="H226" s="14"/>
      <c r="I226" s="14"/>
      <c r="J226" s="14"/>
      <c r="K226" s="14"/>
      <c r="L226" s="14"/>
      <c r="M226" s="14"/>
      <c r="N226" s="14"/>
    </row>
    <row r="227" spans="2:14" ht="15" customHeight="1" x14ac:dyDescent="0.45">
      <c r="B227" s="621" t="s">
        <v>498</v>
      </c>
      <c r="C227" s="621"/>
      <c r="D227" s="621"/>
      <c r="E227" s="14"/>
      <c r="F227" s="14" t="s">
        <v>658</v>
      </c>
      <c r="G227" s="14"/>
      <c r="H227" s="14" t="s">
        <v>659</v>
      </c>
      <c r="I227" s="14"/>
      <c r="J227" s="14" t="s">
        <v>510</v>
      </c>
      <c r="K227" s="14"/>
      <c r="L227" s="14" t="s">
        <v>510</v>
      </c>
      <c r="M227" s="14"/>
      <c r="N227" s="14" t="s">
        <v>510</v>
      </c>
    </row>
    <row r="228" spans="2:14" ht="15" customHeight="1" x14ac:dyDescent="0.45">
      <c r="B228" s="620" t="s">
        <v>511</v>
      </c>
      <c r="C228" s="620"/>
      <c r="D228" s="620"/>
      <c r="E228" s="14"/>
      <c r="F228" s="14" t="s">
        <v>658</v>
      </c>
      <c r="G228" s="14"/>
      <c r="H228" s="14" t="s">
        <v>659</v>
      </c>
      <c r="I228" s="14"/>
      <c r="J228" s="14" t="s">
        <v>510</v>
      </c>
      <c r="K228" s="14"/>
      <c r="L228" s="14" t="s">
        <v>510</v>
      </c>
      <c r="M228" s="14"/>
      <c r="N228" s="14" t="s">
        <v>510</v>
      </c>
    </row>
    <row r="229" spans="2:14" ht="15" customHeight="1" x14ac:dyDescent="0.45">
      <c r="B229" s="620" t="s">
        <v>512</v>
      </c>
      <c r="C229" s="620"/>
      <c r="D229" s="620"/>
      <c r="E229" s="14"/>
      <c r="F229" s="14" t="s">
        <v>660</v>
      </c>
      <c r="G229" s="14"/>
      <c r="H229" s="14" t="s">
        <v>661</v>
      </c>
      <c r="I229" s="14"/>
      <c r="J229" s="14" t="s">
        <v>510</v>
      </c>
      <c r="K229" s="14"/>
      <c r="L229" s="14" t="s">
        <v>510</v>
      </c>
      <c r="M229" s="14"/>
      <c r="N229" s="14" t="s">
        <v>510</v>
      </c>
    </row>
    <row r="230" spans="2:14" ht="15" customHeight="1" x14ac:dyDescent="0.45">
      <c r="B230" s="620" t="s">
        <v>515</v>
      </c>
      <c r="C230" s="620"/>
      <c r="D230" s="620"/>
      <c r="E230" s="14"/>
      <c r="F230" s="14" t="s">
        <v>662</v>
      </c>
      <c r="G230" s="14"/>
      <c r="H230" s="14" t="s">
        <v>663</v>
      </c>
      <c r="I230" s="14"/>
      <c r="J230" s="14" t="s">
        <v>510</v>
      </c>
      <c r="K230" s="14"/>
      <c r="L230" s="14" t="s">
        <v>510</v>
      </c>
      <c r="M230" s="14"/>
      <c r="N230" s="14" t="s">
        <v>510</v>
      </c>
    </row>
    <row r="231" spans="2:14" ht="15" customHeight="1" x14ac:dyDescent="0.45">
      <c r="B231" s="620" t="s">
        <v>518</v>
      </c>
      <c r="C231" s="620"/>
      <c r="D231" s="620"/>
      <c r="E231" s="14"/>
      <c r="F231" s="14" t="s">
        <v>664</v>
      </c>
      <c r="G231" s="14"/>
      <c r="H231" s="14" t="s">
        <v>665</v>
      </c>
      <c r="I231" s="14"/>
      <c r="J231" s="14" t="s">
        <v>510</v>
      </c>
      <c r="K231" s="14"/>
      <c r="L231" s="14" t="s">
        <v>510</v>
      </c>
      <c r="M231" s="14"/>
      <c r="N231" s="14" t="s">
        <v>510</v>
      </c>
    </row>
    <row r="232" spans="2:14" ht="15" customHeight="1" x14ac:dyDescent="0.45">
      <c r="B232" s="620" t="s">
        <v>521</v>
      </c>
      <c r="C232" s="620"/>
      <c r="D232" s="620"/>
      <c r="E232" s="14"/>
      <c r="F232" s="14" t="s">
        <v>666</v>
      </c>
      <c r="G232" s="14"/>
      <c r="H232" s="14" t="s">
        <v>667</v>
      </c>
      <c r="I232" s="14"/>
      <c r="J232" s="14" t="s">
        <v>510</v>
      </c>
      <c r="K232" s="14"/>
      <c r="L232" s="14" t="s">
        <v>510</v>
      </c>
      <c r="M232" s="14"/>
      <c r="N232" s="14" t="s">
        <v>510</v>
      </c>
    </row>
    <row r="233" spans="2:14" ht="15" customHeight="1" x14ac:dyDescent="0.45">
      <c r="B233" s="620"/>
      <c r="C233" s="620"/>
      <c r="D233" s="620"/>
      <c r="E233" s="14"/>
      <c r="F233" s="14"/>
      <c r="G233" s="14"/>
      <c r="H233" s="14"/>
      <c r="I233" s="14"/>
      <c r="J233" s="14"/>
      <c r="K233" s="14"/>
      <c r="L233" s="14"/>
      <c r="M233" s="14"/>
      <c r="N233" s="14"/>
    </row>
    <row r="234" spans="2:14" ht="15" customHeight="1" x14ac:dyDescent="0.45">
      <c r="B234" s="621" t="s">
        <v>501</v>
      </c>
      <c r="C234" s="621"/>
      <c r="D234" s="621"/>
      <c r="E234" s="14"/>
      <c r="F234" s="14" t="s">
        <v>668</v>
      </c>
      <c r="G234" s="14"/>
      <c r="H234" s="14" t="s">
        <v>669</v>
      </c>
      <c r="I234" s="14"/>
      <c r="J234" s="14" t="s">
        <v>510</v>
      </c>
      <c r="K234" s="14"/>
      <c r="L234" s="14" t="s">
        <v>510</v>
      </c>
      <c r="M234" s="14"/>
      <c r="N234" s="14" t="s">
        <v>510</v>
      </c>
    </row>
    <row r="235" spans="2:14" ht="15" customHeight="1" x14ac:dyDescent="0.45">
      <c r="B235" s="620" t="s">
        <v>511</v>
      </c>
      <c r="C235" s="620"/>
      <c r="D235" s="620"/>
      <c r="E235" s="14"/>
      <c r="F235" s="14" t="s">
        <v>668</v>
      </c>
      <c r="G235" s="14"/>
      <c r="H235" s="14" t="s">
        <v>669</v>
      </c>
      <c r="I235" s="14"/>
      <c r="J235" s="14" t="s">
        <v>510</v>
      </c>
      <c r="K235" s="14"/>
      <c r="L235" s="14" t="s">
        <v>510</v>
      </c>
      <c r="M235" s="14"/>
      <c r="N235" s="14" t="s">
        <v>510</v>
      </c>
    </row>
    <row r="236" spans="2:14" ht="15" customHeight="1" x14ac:dyDescent="0.45">
      <c r="B236" s="620" t="s">
        <v>512</v>
      </c>
      <c r="C236" s="620"/>
      <c r="D236" s="620"/>
      <c r="E236" s="14"/>
      <c r="F236" s="14" t="s">
        <v>670</v>
      </c>
      <c r="G236" s="14"/>
      <c r="H236" s="14" t="s">
        <v>671</v>
      </c>
      <c r="I236" s="14"/>
      <c r="J236" s="14" t="s">
        <v>510</v>
      </c>
      <c r="K236" s="14"/>
      <c r="L236" s="14" t="s">
        <v>510</v>
      </c>
      <c r="M236" s="14"/>
      <c r="N236" s="14" t="s">
        <v>510</v>
      </c>
    </row>
    <row r="237" spans="2:14" ht="15" customHeight="1" x14ac:dyDescent="0.45">
      <c r="B237" s="620" t="s">
        <v>515</v>
      </c>
      <c r="C237" s="620"/>
      <c r="D237" s="620"/>
      <c r="E237" s="14"/>
      <c r="F237" s="14" t="s">
        <v>672</v>
      </c>
      <c r="G237" s="14"/>
      <c r="H237" s="14" t="s">
        <v>673</v>
      </c>
      <c r="I237" s="14"/>
      <c r="J237" s="14" t="s">
        <v>510</v>
      </c>
      <c r="K237" s="14"/>
      <c r="L237" s="14" t="s">
        <v>510</v>
      </c>
      <c r="M237" s="14"/>
      <c r="N237" s="14" t="s">
        <v>510</v>
      </c>
    </row>
    <row r="238" spans="2:14" ht="15" customHeight="1" x14ac:dyDescent="0.45">
      <c r="B238" s="620" t="s">
        <v>518</v>
      </c>
      <c r="C238" s="620"/>
      <c r="D238" s="620"/>
      <c r="E238" s="14"/>
      <c r="F238" s="14" t="s">
        <v>674</v>
      </c>
      <c r="G238" s="14"/>
      <c r="H238" s="14" t="s">
        <v>675</v>
      </c>
      <c r="I238" s="14"/>
      <c r="J238" s="14" t="s">
        <v>510</v>
      </c>
      <c r="K238" s="14"/>
      <c r="L238" s="14" t="s">
        <v>510</v>
      </c>
      <c r="M238" s="14"/>
      <c r="N238" s="14" t="s">
        <v>510</v>
      </c>
    </row>
    <row r="239" spans="2:14" ht="15" customHeight="1" x14ac:dyDescent="0.45">
      <c r="B239" s="620" t="s">
        <v>521</v>
      </c>
      <c r="C239" s="620"/>
      <c r="D239" s="620"/>
      <c r="E239" s="14"/>
      <c r="F239" s="14" t="s">
        <v>676</v>
      </c>
      <c r="G239" s="14"/>
      <c r="H239" s="14" t="s">
        <v>677</v>
      </c>
      <c r="I239" s="14"/>
      <c r="J239" s="14" t="s">
        <v>510</v>
      </c>
      <c r="K239" s="14"/>
      <c r="L239" s="14" t="s">
        <v>510</v>
      </c>
      <c r="M239" s="14"/>
      <c r="N239" s="14" t="s">
        <v>510</v>
      </c>
    </row>
    <row r="240" spans="2:14" ht="15" customHeight="1" x14ac:dyDescent="0.45">
      <c r="B240" s="620"/>
      <c r="C240" s="620"/>
      <c r="D240" s="620"/>
      <c r="E240" s="14"/>
      <c r="F240" s="14"/>
      <c r="G240" s="14"/>
      <c r="H240" s="14"/>
      <c r="I240" s="14"/>
      <c r="J240" s="14"/>
      <c r="K240" s="14"/>
      <c r="L240" s="14"/>
      <c r="M240" s="14"/>
      <c r="N240" s="14"/>
    </row>
    <row r="241" spans="2:14" ht="15" customHeight="1" x14ac:dyDescent="0.45">
      <c r="B241" s="621" t="s">
        <v>678</v>
      </c>
      <c r="C241" s="621"/>
      <c r="D241" s="621"/>
      <c r="E241" s="14"/>
      <c r="F241" s="14" t="s">
        <v>679</v>
      </c>
      <c r="G241" s="14"/>
      <c r="H241" s="14" t="s">
        <v>680</v>
      </c>
      <c r="I241" s="14"/>
      <c r="J241" s="14" t="s">
        <v>510</v>
      </c>
      <c r="K241" s="14"/>
      <c r="L241" s="14" t="s">
        <v>510</v>
      </c>
      <c r="M241" s="14"/>
      <c r="N241" s="14" t="s">
        <v>510</v>
      </c>
    </row>
    <row r="242" spans="2:14" ht="15" customHeight="1" x14ac:dyDescent="0.45">
      <c r="B242" s="620" t="s">
        <v>511</v>
      </c>
      <c r="C242" s="620"/>
      <c r="D242" s="620"/>
      <c r="E242" s="14"/>
      <c r="F242" s="14" t="s">
        <v>679</v>
      </c>
      <c r="G242" s="14"/>
      <c r="H242" s="14" t="s">
        <v>680</v>
      </c>
      <c r="I242" s="14"/>
      <c r="J242" s="14" t="s">
        <v>510</v>
      </c>
      <c r="K242" s="14"/>
      <c r="L242" s="14" t="s">
        <v>510</v>
      </c>
      <c r="M242" s="14"/>
      <c r="N242" s="14" t="s">
        <v>510</v>
      </c>
    </row>
    <row r="243" spans="2:14" ht="15" customHeight="1" x14ac:dyDescent="0.45">
      <c r="B243" s="620" t="s">
        <v>512</v>
      </c>
      <c r="C243" s="620"/>
      <c r="D243" s="620"/>
      <c r="E243" s="14"/>
      <c r="F243" s="14" t="s">
        <v>681</v>
      </c>
      <c r="G243" s="14"/>
      <c r="H243" s="14" t="s">
        <v>682</v>
      </c>
      <c r="I243" s="14"/>
      <c r="J243" s="14" t="s">
        <v>510</v>
      </c>
      <c r="K243" s="14"/>
      <c r="L243" s="14" t="s">
        <v>510</v>
      </c>
      <c r="M243" s="14"/>
      <c r="N243" s="14" t="s">
        <v>510</v>
      </c>
    </row>
    <row r="244" spans="2:14" ht="15" customHeight="1" x14ac:dyDescent="0.45">
      <c r="B244" s="620" t="s">
        <v>515</v>
      </c>
      <c r="C244" s="620"/>
      <c r="D244" s="620"/>
      <c r="E244" s="14"/>
      <c r="F244" s="14" t="s">
        <v>683</v>
      </c>
      <c r="G244" s="14"/>
      <c r="H244" s="14" t="s">
        <v>684</v>
      </c>
      <c r="I244" s="14"/>
      <c r="J244" s="14" t="s">
        <v>510</v>
      </c>
      <c r="K244" s="14"/>
      <c r="L244" s="14" t="s">
        <v>510</v>
      </c>
      <c r="M244" s="14"/>
      <c r="N244" s="14" t="s">
        <v>510</v>
      </c>
    </row>
    <row r="245" spans="2:14" ht="15" customHeight="1" x14ac:dyDescent="0.45">
      <c r="B245" s="620" t="s">
        <v>518</v>
      </c>
      <c r="C245" s="620"/>
      <c r="D245" s="620"/>
      <c r="E245" s="14"/>
      <c r="F245" s="14" t="s">
        <v>685</v>
      </c>
      <c r="G245" s="14"/>
      <c r="H245" s="14" t="s">
        <v>686</v>
      </c>
      <c r="I245" s="14"/>
      <c r="J245" s="14" t="s">
        <v>510</v>
      </c>
      <c r="K245" s="14"/>
      <c r="L245" s="14" t="s">
        <v>510</v>
      </c>
      <c r="M245" s="14"/>
      <c r="N245" s="14" t="s">
        <v>510</v>
      </c>
    </row>
    <row r="246" spans="2:14" ht="15" customHeight="1" x14ac:dyDescent="0.45">
      <c r="B246" s="620" t="s">
        <v>521</v>
      </c>
      <c r="C246" s="620"/>
      <c r="D246" s="620"/>
      <c r="E246" s="14"/>
      <c r="F246" s="14" t="s">
        <v>687</v>
      </c>
      <c r="G246" s="14"/>
      <c r="H246" s="14" t="s">
        <v>688</v>
      </c>
      <c r="I246" s="14"/>
      <c r="J246" s="14" t="s">
        <v>510</v>
      </c>
      <c r="K246" s="14"/>
      <c r="L246" s="14" t="s">
        <v>510</v>
      </c>
      <c r="M246" s="14"/>
      <c r="N246" s="14" t="s">
        <v>510</v>
      </c>
    </row>
    <row r="247" spans="2:14" ht="15" customHeight="1" x14ac:dyDescent="0.45">
      <c r="B247" s="620"/>
      <c r="C247" s="620"/>
      <c r="D247" s="620"/>
      <c r="E247" s="623"/>
      <c r="F247" s="623"/>
      <c r="G247" s="623"/>
      <c r="H247" s="623"/>
      <c r="I247" s="623"/>
      <c r="J247" s="623"/>
      <c r="K247" s="623"/>
      <c r="L247" s="623"/>
      <c r="M247" s="623"/>
      <c r="N247" s="623"/>
    </row>
    <row r="248" spans="2:14" s="3" customFormat="1" ht="15" customHeight="1" x14ac:dyDescent="0.45">
      <c r="B248" s="622" t="s">
        <v>689</v>
      </c>
      <c r="C248" s="622"/>
      <c r="D248" s="622"/>
      <c r="E248" s="33"/>
      <c r="F248" s="33" t="s">
        <v>479</v>
      </c>
      <c r="G248" s="33"/>
      <c r="H248" s="33" t="s">
        <v>480</v>
      </c>
      <c r="I248" s="33"/>
      <c r="J248" s="33"/>
      <c r="K248" s="33"/>
      <c r="L248" s="33"/>
      <c r="M248" s="33"/>
      <c r="N248" s="33" t="s">
        <v>507</v>
      </c>
    </row>
    <row r="249" spans="2:14" s="3" customFormat="1" ht="15" customHeight="1" x14ac:dyDescent="0.45">
      <c r="B249" s="34"/>
      <c r="C249" s="34"/>
      <c r="D249" s="34"/>
      <c r="E249" s="33"/>
      <c r="F249" s="33"/>
      <c r="G249" s="33"/>
      <c r="H249" s="33"/>
      <c r="I249" s="33"/>
      <c r="J249" s="33"/>
      <c r="K249" s="33"/>
      <c r="L249" s="33"/>
      <c r="M249" s="33"/>
      <c r="N249" s="33"/>
    </row>
    <row r="250" spans="2:14" ht="15" customHeight="1" x14ac:dyDescent="0.45">
      <c r="B250" s="621" t="s">
        <v>690</v>
      </c>
      <c r="C250" s="621"/>
      <c r="D250" s="621"/>
      <c r="E250" s="39"/>
      <c r="F250" s="14" t="s">
        <v>691</v>
      </c>
      <c r="G250" s="14"/>
      <c r="H250" s="14" t="s">
        <v>692</v>
      </c>
      <c r="I250" s="14"/>
      <c r="J250" s="14"/>
      <c r="K250" s="14"/>
      <c r="L250" s="14"/>
      <c r="M250" s="14"/>
      <c r="N250" s="14" t="s">
        <v>693</v>
      </c>
    </row>
    <row r="251" spans="2:14" ht="15" customHeight="1" x14ac:dyDescent="0.45">
      <c r="B251" s="620" t="s">
        <v>511</v>
      </c>
      <c r="C251" s="620"/>
      <c r="D251" s="620"/>
      <c r="E251" s="10"/>
      <c r="F251" s="14" t="s">
        <v>691</v>
      </c>
      <c r="G251" s="14"/>
      <c r="H251" s="14" t="s">
        <v>692</v>
      </c>
      <c r="I251" s="14"/>
      <c r="J251" s="14"/>
      <c r="K251" s="14"/>
      <c r="L251" s="14"/>
      <c r="M251" s="14"/>
      <c r="N251" s="14" t="s">
        <v>693</v>
      </c>
    </row>
    <row r="252" spans="2:14" ht="15" customHeight="1" x14ac:dyDescent="0.45">
      <c r="B252" s="620" t="s">
        <v>512</v>
      </c>
      <c r="C252" s="620"/>
      <c r="D252" s="620"/>
      <c r="E252" s="10"/>
      <c r="F252" s="14" t="s">
        <v>694</v>
      </c>
      <c r="G252" s="14"/>
      <c r="H252" s="14" t="s">
        <v>695</v>
      </c>
      <c r="I252" s="14"/>
      <c r="J252" s="14"/>
      <c r="K252" s="14"/>
      <c r="L252" s="14"/>
      <c r="M252" s="14"/>
      <c r="N252" s="14" t="s">
        <v>693</v>
      </c>
    </row>
    <row r="253" spans="2:14" ht="15" customHeight="1" x14ac:dyDescent="0.45">
      <c r="B253" s="620" t="s">
        <v>515</v>
      </c>
      <c r="C253" s="620"/>
      <c r="D253" s="620"/>
      <c r="E253" s="10"/>
      <c r="F253" s="14" t="s">
        <v>694</v>
      </c>
      <c r="G253" s="14"/>
      <c r="H253" s="14" t="s">
        <v>695</v>
      </c>
      <c r="I253" s="14"/>
      <c r="J253" s="14"/>
      <c r="K253" s="14"/>
      <c r="L253" s="14"/>
      <c r="M253" s="14"/>
      <c r="N253" s="14" t="s">
        <v>696</v>
      </c>
    </row>
    <row r="254" spans="2:14" ht="15" customHeight="1" x14ac:dyDescent="0.45">
      <c r="B254" s="620" t="s">
        <v>518</v>
      </c>
      <c r="C254" s="620"/>
      <c r="D254" s="620"/>
      <c r="E254" s="10"/>
      <c r="F254" s="14" t="s">
        <v>694</v>
      </c>
      <c r="G254" s="14"/>
      <c r="H254" s="14" t="s">
        <v>697</v>
      </c>
      <c r="I254" s="14"/>
      <c r="J254" s="14"/>
      <c r="K254" s="14"/>
      <c r="L254" s="14"/>
      <c r="M254" s="14"/>
      <c r="N254" s="14" t="s">
        <v>698</v>
      </c>
    </row>
    <row r="255" spans="2:14" ht="15" customHeight="1" x14ac:dyDescent="0.45">
      <c r="B255" s="620" t="s">
        <v>521</v>
      </c>
      <c r="C255" s="620"/>
      <c r="D255" s="620"/>
      <c r="E255" s="10"/>
      <c r="F255" s="14" t="s">
        <v>694</v>
      </c>
      <c r="G255" s="14"/>
      <c r="H255" s="14" t="s">
        <v>699</v>
      </c>
      <c r="I255" s="14"/>
      <c r="J255" s="14"/>
      <c r="K255" s="14"/>
      <c r="L255" s="14"/>
      <c r="M255" s="14"/>
      <c r="N255" s="14" t="s">
        <v>700</v>
      </c>
    </row>
    <row r="256" spans="2:14" ht="15" customHeight="1" x14ac:dyDescent="0.45">
      <c r="B256" s="7"/>
      <c r="C256" s="7"/>
      <c r="D256" s="7"/>
      <c r="E256" s="10"/>
      <c r="F256" s="14"/>
      <c r="G256" s="14"/>
      <c r="H256" s="14"/>
      <c r="I256" s="14"/>
      <c r="J256" s="14"/>
      <c r="K256" s="14"/>
      <c r="L256" s="14"/>
      <c r="M256" s="14"/>
      <c r="N256" s="14"/>
    </row>
    <row r="257" spans="2:14" ht="15" customHeight="1" x14ac:dyDescent="0.45">
      <c r="B257" s="621" t="s">
        <v>701</v>
      </c>
      <c r="C257" s="621"/>
      <c r="D257" s="621"/>
      <c r="E257" s="39"/>
      <c r="F257" s="14" t="s">
        <v>702</v>
      </c>
      <c r="G257" s="14"/>
      <c r="H257" s="14" t="s">
        <v>703</v>
      </c>
      <c r="I257" s="14"/>
      <c r="J257" s="14"/>
      <c r="K257" s="14"/>
      <c r="L257" s="14"/>
      <c r="M257" s="14"/>
      <c r="N257" s="14" t="s">
        <v>510</v>
      </c>
    </row>
    <row r="258" spans="2:14" ht="15" customHeight="1" x14ac:dyDescent="0.45">
      <c r="B258" s="620" t="s">
        <v>511</v>
      </c>
      <c r="C258" s="620"/>
      <c r="D258" s="620"/>
      <c r="E258" s="10"/>
      <c r="F258" s="14" t="s">
        <v>702</v>
      </c>
      <c r="G258" s="14"/>
      <c r="H258" s="14" t="s">
        <v>703</v>
      </c>
      <c r="I258" s="14"/>
      <c r="J258" s="14"/>
      <c r="K258" s="14"/>
      <c r="L258" s="14"/>
      <c r="M258" s="14"/>
      <c r="N258" s="14" t="s">
        <v>510</v>
      </c>
    </row>
    <row r="259" spans="2:14" ht="15" customHeight="1" x14ac:dyDescent="0.45">
      <c r="B259" s="620" t="s">
        <v>512</v>
      </c>
      <c r="C259" s="620"/>
      <c r="D259" s="620"/>
      <c r="E259" s="10"/>
      <c r="F259" s="14" t="s">
        <v>702</v>
      </c>
      <c r="G259" s="14"/>
      <c r="H259" s="14" t="s">
        <v>703</v>
      </c>
      <c r="I259" s="14"/>
      <c r="J259" s="14"/>
      <c r="K259" s="14"/>
      <c r="L259" s="14"/>
      <c r="M259" s="14"/>
      <c r="N259" s="14" t="s">
        <v>510</v>
      </c>
    </row>
    <row r="260" spans="2:14" ht="15" customHeight="1" x14ac:dyDescent="0.45">
      <c r="B260" s="620" t="s">
        <v>515</v>
      </c>
      <c r="C260" s="620"/>
      <c r="D260" s="620"/>
      <c r="E260" s="10"/>
      <c r="F260" s="14" t="s">
        <v>702</v>
      </c>
      <c r="G260" s="14"/>
      <c r="H260" s="14" t="s">
        <v>703</v>
      </c>
      <c r="I260" s="14"/>
      <c r="J260" s="14"/>
      <c r="K260" s="14"/>
      <c r="L260" s="14"/>
      <c r="M260" s="14"/>
      <c r="N260" s="14" t="s">
        <v>510</v>
      </c>
    </row>
    <row r="261" spans="2:14" ht="15" customHeight="1" x14ac:dyDescent="0.45">
      <c r="B261" s="620" t="s">
        <v>518</v>
      </c>
      <c r="C261" s="620"/>
      <c r="D261" s="620"/>
      <c r="E261" s="10"/>
      <c r="F261" s="14" t="s">
        <v>702</v>
      </c>
      <c r="G261" s="14"/>
      <c r="H261" s="14" t="s">
        <v>703</v>
      </c>
      <c r="I261" s="14"/>
      <c r="J261" s="14"/>
      <c r="K261" s="14"/>
      <c r="L261" s="14"/>
      <c r="M261" s="14"/>
      <c r="N261" s="14" t="s">
        <v>510</v>
      </c>
    </row>
    <row r="262" spans="2:14" ht="15" customHeight="1" x14ac:dyDescent="0.45">
      <c r="B262" s="620" t="s">
        <v>521</v>
      </c>
      <c r="C262" s="620"/>
      <c r="D262" s="620"/>
      <c r="E262" s="10"/>
      <c r="F262" s="14" t="s">
        <v>702</v>
      </c>
      <c r="G262" s="14"/>
      <c r="H262" s="14" t="s">
        <v>703</v>
      </c>
      <c r="I262" s="14"/>
      <c r="J262" s="14"/>
      <c r="K262" s="14"/>
      <c r="L262" s="14"/>
      <c r="M262" s="14"/>
      <c r="N262" s="14" t="s">
        <v>510</v>
      </c>
    </row>
    <row r="263" spans="2:14" ht="15" customHeight="1" x14ac:dyDescent="0.45">
      <c r="B263" s="7"/>
      <c r="C263" s="7"/>
      <c r="D263" s="7"/>
      <c r="E263" s="10"/>
      <c r="F263" s="14"/>
      <c r="G263" s="14"/>
      <c r="H263" s="14"/>
      <c r="I263" s="14"/>
      <c r="J263" s="14"/>
      <c r="K263" s="14"/>
      <c r="L263" s="14"/>
      <c r="M263" s="14"/>
      <c r="N263" s="14"/>
    </row>
    <row r="264" spans="2:14" ht="15" customHeight="1" x14ac:dyDescent="0.45">
      <c r="B264" s="621" t="s">
        <v>704</v>
      </c>
      <c r="C264" s="621"/>
      <c r="D264" s="621"/>
      <c r="E264" s="39"/>
      <c r="F264" s="14" t="s">
        <v>705</v>
      </c>
      <c r="G264" s="14"/>
      <c r="H264" s="14" t="s">
        <v>706</v>
      </c>
      <c r="I264" s="14"/>
      <c r="J264" s="14"/>
      <c r="K264" s="14"/>
      <c r="L264" s="14"/>
      <c r="M264" s="14"/>
      <c r="N264" s="14" t="s">
        <v>510</v>
      </c>
    </row>
    <row r="265" spans="2:14" ht="15" customHeight="1" x14ac:dyDescent="0.45">
      <c r="B265" s="620" t="s">
        <v>511</v>
      </c>
      <c r="C265" s="620"/>
      <c r="D265" s="620"/>
      <c r="E265" s="10"/>
      <c r="F265" s="14" t="s">
        <v>705</v>
      </c>
      <c r="G265" s="14"/>
      <c r="H265" s="14" t="s">
        <v>706</v>
      </c>
      <c r="I265" s="14"/>
      <c r="J265" s="14"/>
      <c r="K265" s="14"/>
      <c r="L265" s="14"/>
      <c r="M265" s="14"/>
      <c r="N265" s="14" t="s">
        <v>510</v>
      </c>
    </row>
    <row r="266" spans="2:14" ht="15" customHeight="1" x14ac:dyDescent="0.45">
      <c r="B266" s="620" t="s">
        <v>512</v>
      </c>
      <c r="C266" s="620"/>
      <c r="D266" s="620"/>
      <c r="E266" s="10"/>
      <c r="F266" s="14" t="s">
        <v>707</v>
      </c>
      <c r="G266" s="14"/>
      <c r="H266" s="14" t="s">
        <v>708</v>
      </c>
      <c r="I266" s="14"/>
      <c r="J266" s="14"/>
      <c r="K266" s="14"/>
      <c r="L266" s="14"/>
      <c r="M266" s="14"/>
      <c r="N266" s="14" t="s">
        <v>510</v>
      </c>
    </row>
    <row r="267" spans="2:14" ht="15" customHeight="1" x14ac:dyDescent="0.45">
      <c r="B267" s="620" t="s">
        <v>515</v>
      </c>
      <c r="C267" s="620"/>
      <c r="D267" s="620"/>
      <c r="E267" s="10"/>
      <c r="F267" s="14" t="s">
        <v>707</v>
      </c>
      <c r="G267" s="14"/>
      <c r="H267" s="14" t="s">
        <v>708</v>
      </c>
      <c r="I267" s="14"/>
      <c r="J267" s="14"/>
      <c r="K267" s="14"/>
      <c r="L267" s="14"/>
      <c r="M267" s="14"/>
      <c r="N267" s="14" t="s">
        <v>510</v>
      </c>
    </row>
    <row r="268" spans="2:14" ht="15" customHeight="1" x14ac:dyDescent="0.45">
      <c r="B268" s="620" t="s">
        <v>518</v>
      </c>
      <c r="C268" s="620"/>
      <c r="D268" s="620"/>
      <c r="E268" s="10"/>
      <c r="F268" s="14" t="s">
        <v>709</v>
      </c>
      <c r="G268" s="14"/>
      <c r="H268" s="14" t="s">
        <v>710</v>
      </c>
      <c r="I268" s="14"/>
      <c r="J268" s="14"/>
      <c r="K268" s="14"/>
      <c r="L268" s="14"/>
      <c r="M268" s="14"/>
      <c r="N268" s="14" t="s">
        <v>510</v>
      </c>
    </row>
    <row r="269" spans="2:14" ht="15" customHeight="1" x14ac:dyDescent="0.45">
      <c r="B269" s="620" t="s">
        <v>521</v>
      </c>
      <c r="C269" s="620"/>
      <c r="D269" s="620"/>
      <c r="E269" s="10"/>
      <c r="F269" s="14" t="s">
        <v>711</v>
      </c>
      <c r="G269" s="14"/>
      <c r="H269" s="14" t="s">
        <v>712</v>
      </c>
      <c r="I269" s="14"/>
      <c r="J269" s="14"/>
      <c r="K269" s="14"/>
      <c r="L269" s="14"/>
      <c r="M269" s="14"/>
      <c r="N269" s="14" t="s">
        <v>510</v>
      </c>
    </row>
    <row r="318" spans="2:11" ht="43.5" customHeight="1" x14ac:dyDescent="0.45">
      <c r="B318" s="628" t="s">
        <v>713</v>
      </c>
      <c r="C318" s="629" t="s">
        <v>714</v>
      </c>
      <c r="D318" s="629"/>
      <c r="E318" s="629"/>
      <c r="F318" s="629"/>
      <c r="G318" s="629"/>
      <c r="H318" s="629"/>
      <c r="I318" s="629"/>
      <c r="J318" s="629"/>
      <c r="K318" s="629"/>
    </row>
    <row r="319" spans="2:11" ht="15" customHeight="1" x14ac:dyDescent="0.45">
      <c r="B319" s="628"/>
      <c r="C319" s="629"/>
      <c r="D319" s="629"/>
      <c r="E319" s="629"/>
      <c r="F319" s="629"/>
      <c r="G319" s="629"/>
      <c r="H319" s="629"/>
      <c r="I319" s="629"/>
      <c r="J319" s="629"/>
      <c r="K319" s="629"/>
    </row>
    <row r="320" spans="2:11" ht="43.5" customHeight="1" x14ac:dyDescent="0.45">
      <c r="B320" s="628" t="s">
        <v>715</v>
      </c>
      <c r="C320" s="629" t="s">
        <v>716</v>
      </c>
      <c r="D320" s="629"/>
      <c r="E320" s="629"/>
      <c r="F320" s="629"/>
      <c r="G320" s="629"/>
      <c r="H320" s="629"/>
    </row>
    <row r="321" spans="2:8" ht="15" customHeight="1" x14ac:dyDescent="0.45">
      <c r="B321" s="628"/>
      <c r="C321" s="629"/>
      <c r="D321" s="629"/>
      <c r="E321" s="629"/>
      <c r="F321" s="629"/>
      <c r="G321" s="629"/>
      <c r="H321" s="629"/>
    </row>
    <row r="322" spans="2:8" ht="43.5" customHeight="1" x14ac:dyDescent="0.45">
      <c r="B322" s="628" t="s">
        <v>717</v>
      </c>
      <c r="C322" s="629" t="s">
        <v>718</v>
      </c>
      <c r="D322" s="629"/>
      <c r="E322" s="629"/>
      <c r="F322" s="629"/>
      <c r="G322" s="629"/>
      <c r="H322" s="629"/>
    </row>
    <row r="323" spans="2:8" ht="15" customHeight="1" x14ac:dyDescent="0.45">
      <c r="B323" s="628"/>
      <c r="C323" s="629"/>
      <c r="D323" s="629"/>
      <c r="E323" s="629"/>
      <c r="F323" s="629"/>
      <c r="G323" s="629"/>
      <c r="H323" s="629"/>
    </row>
    <row r="324" spans="2:8" ht="15" customHeight="1" x14ac:dyDescent="0.45">
      <c r="B324" s="256" t="s">
        <v>719</v>
      </c>
      <c r="C324" s="257" t="s">
        <v>720</v>
      </c>
    </row>
    <row r="325" spans="2:8" ht="15" customHeight="1" x14ac:dyDescent="0.45">
      <c r="B325" s="256" t="s">
        <v>721</v>
      </c>
      <c r="C325" s="257" t="s">
        <v>722</v>
      </c>
    </row>
    <row r="326" spans="2:8" ht="15" customHeight="1" x14ac:dyDescent="0.45">
      <c r="B326" s="256" t="s">
        <v>723</v>
      </c>
      <c r="C326" s="257" t="s">
        <v>724</v>
      </c>
    </row>
  </sheetData>
  <mergeCells count="223">
    <mergeCell ref="B318:B319"/>
    <mergeCell ref="B320:B321"/>
    <mergeCell ref="B322:B323"/>
    <mergeCell ref="C318:K319"/>
    <mergeCell ref="C320:H321"/>
    <mergeCell ref="C322:H323"/>
    <mergeCell ref="B36:G36"/>
    <mergeCell ref="B24:G24"/>
    <mergeCell ref="F25:G25"/>
    <mergeCell ref="B83:E83"/>
    <mergeCell ref="B84:E84"/>
    <mergeCell ref="B81:E81"/>
    <mergeCell ref="B82:E82"/>
    <mergeCell ref="B79:E79"/>
    <mergeCell ref="B80:E80"/>
    <mergeCell ref="B77:E77"/>
    <mergeCell ref="B78:E78"/>
    <mergeCell ref="B75:E75"/>
    <mergeCell ref="B76:E76"/>
    <mergeCell ref="B93:E93"/>
    <mergeCell ref="B94:E94"/>
    <mergeCell ref="B91:E91"/>
    <mergeCell ref="B92:E92"/>
    <mergeCell ref="B89:E89"/>
    <mergeCell ref="B17:G17"/>
    <mergeCell ref="B19:C19"/>
    <mergeCell ref="F18:G18"/>
    <mergeCell ref="I18:J18"/>
    <mergeCell ref="B4:G4"/>
    <mergeCell ref="B73:E73"/>
    <mergeCell ref="B74:E74"/>
    <mergeCell ref="B71:E71"/>
    <mergeCell ref="B72:E72"/>
    <mergeCell ref="B69:E69"/>
    <mergeCell ref="B70:E70"/>
    <mergeCell ref="B58:G58"/>
    <mergeCell ref="B65:G65"/>
    <mergeCell ref="B67:E67"/>
    <mergeCell ref="B68:E68"/>
    <mergeCell ref="B90:E90"/>
    <mergeCell ref="B87:E87"/>
    <mergeCell ref="B88:E88"/>
    <mergeCell ref="B85:E85"/>
    <mergeCell ref="B86:E86"/>
    <mergeCell ref="B103:E103"/>
    <mergeCell ref="B104:E104"/>
    <mergeCell ref="B101:E101"/>
    <mergeCell ref="B102:E102"/>
    <mergeCell ref="B99:E99"/>
    <mergeCell ref="B100:E100"/>
    <mergeCell ref="B97:E97"/>
    <mergeCell ref="B98:E98"/>
    <mergeCell ref="B95:E95"/>
    <mergeCell ref="B96:E96"/>
    <mergeCell ref="B113:E113"/>
    <mergeCell ref="B114:E114"/>
    <mergeCell ref="B111:E111"/>
    <mergeCell ref="B112:E112"/>
    <mergeCell ref="B109:E109"/>
    <mergeCell ref="B110:E110"/>
    <mergeCell ref="B107:E107"/>
    <mergeCell ref="B108:E108"/>
    <mergeCell ref="B105:E105"/>
    <mergeCell ref="B106:E106"/>
    <mergeCell ref="M128:N128"/>
    <mergeCell ref="B121:E121"/>
    <mergeCell ref="B122:E122"/>
    <mergeCell ref="B119:E119"/>
    <mergeCell ref="B120:E120"/>
    <mergeCell ref="B117:E117"/>
    <mergeCell ref="B118:E118"/>
    <mergeCell ref="B115:E115"/>
    <mergeCell ref="B116:E116"/>
    <mergeCell ref="B131:D131"/>
    <mergeCell ref="B130:D130"/>
    <mergeCell ref="B129:D129"/>
    <mergeCell ref="B123:E123"/>
    <mergeCell ref="B128:D128"/>
    <mergeCell ref="E128:F128"/>
    <mergeCell ref="G128:H128"/>
    <mergeCell ref="I128:J128"/>
    <mergeCell ref="K128:L128"/>
    <mergeCell ref="B125:G125"/>
    <mergeCell ref="B140:D140"/>
    <mergeCell ref="B139:D139"/>
    <mergeCell ref="B138:D138"/>
    <mergeCell ref="B137:D137"/>
    <mergeCell ref="B136:D136"/>
    <mergeCell ref="B135:D135"/>
    <mergeCell ref="B134:D134"/>
    <mergeCell ref="B133:D133"/>
    <mergeCell ref="B132:D132"/>
    <mergeCell ref="B149:D149"/>
    <mergeCell ref="B148:D148"/>
    <mergeCell ref="B147:D147"/>
    <mergeCell ref="B146:D146"/>
    <mergeCell ref="B145:D145"/>
    <mergeCell ref="B144:D144"/>
    <mergeCell ref="B143:D143"/>
    <mergeCell ref="B142:D142"/>
    <mergeCell ref="B141:D141"/>
    <mergeCell ref="B158:D158"/>
    <mergeCell ref="B157:D157"/>
    <mergeCell ref="B156:D156"/>
    <mergeCell ref="B155:D155"/>
    <mergeCell ref="B154:D154"/>
    <mergeCell ref="B153:D153"/>
    <mergeCell ref="B152:D152"/>
    <mergeCell ref="B151:D151"/>
    <mergeCell ref="B150:D150"/>
    <mergeCell ref="B167:D167"/>
    <mergeCell ref="B166:D166"/>
    <mergeCell ref="B165:D165"/>
    <mergeCell ref="B164:D164"/>
    <mergeCell ref="B163:D163"/>
    <mergeCell ref="B162:D162"/>
    <mergeCell ref="B161:D161"/>
    <mergeCell ref="B160:D160"/>
    <mergeCell ref="B159:D159"/>
    <mergeCell ref="B176:D176"/>
    <mergeCell ref="B175:D175"/>
    <mergeCell ref="B174:D174"/>
    <mergeCell ref="B173:D173"/>
    <mergeCell ref="B172:D172"/>
    <mergeCell ref="B171:D171"/>
    <mergeCell ref="B170:D170"/>
    <mergeCell ref="B169:D169"/>
    <mergeCell ref="B168:D168"/>
    <mergeCell ref="B185:D185"/>
    <mergeCell ref="B184:D184"/>
    <mergeCell ref="B183:D183"/>
    <mergeCell ref="B182:D182"/>
    <mergeCell ref="B181:D181"/>
    <mergeCell ref="B180:D180"/>
    <mergeCell ref="B179:D179"/>
    <mergeCell ref="B178:D178"/>
    <mergeCell ref="B177:D177"/>
    <mergeCell ref="B194:D194"/>
    <mergeCell ref="B193:D193"/>
    <mergeCell ref="B192:D192"/>
    <mergeCell ref="B191:D191"/>
    <mergeCell ref="B190:D190"/>
    <mergeCell ref="B189:D189"/>
    <mergeCell ref="B188:D188"/>
    <mergeCell ref="B187:D187"/>
    <mergeCell ref="B186:D186"/>
    <mergeCell ref="B203:D203"/>
    <mergeCell ref="B202:D202"/>
    <mergeCell ref="B201:D201"/>
    <mergeCell ref="B200:D200"/>
    <mergeCell ref="B199:D199"/>
    <mergeCell ref="B198:D198"/>
    <mergeCell ref="B197:D197"/>
    <mergeCell ref="B196:D196"/>
    <mergeCell ref="B195:D195"/>
    <mergeCell ref="B212:D212"/>
    <mergeCell ref="B211:D211"/>
    <mergeCell ref="B210:D210"/>
    <mergeCell ref="B209:D209"/>
    <mergeCell ref="B208:D208"/>
    <mergeCell ref="B207:D207"/>
    <mergeCell ref="B206:D206"/>
    <mergeCell ref="B205:D205"/>
    <mergeCell ref="B204:D204"/>
    <mergeCell ref="B221:D221"/>
    <mergeCell ref="B220:D220"/>
    <mergeCell ref="B219:D219"/>
    <mergeCell ref="B218:D218"/>
    <mergeCell ref="B217:D217"/>
    <mergeCell ref="B216:D216"/>
    <mergeCell ref="B215:D215"/>
    <mergeCell ref="B214:D214"/>
    <mergeCell ref="B213:D213"/>
    <mergeCell ref="B230:D230"/>
    <mergeCell ref="B229:D229"/>
    <mergeCell ref="B228:D228"/>
    <mergeCell ref="B227:D227"/>
    <mergeCell ref="B226:D226"/>
    <mergeCell ref="B225:D225"/>
    <mergeCell ref="B224:D224"/>
    <mergeCell ref="B223:D223"/>
    <mergeCell ref="B222:D222"/>
    <mergeCell ref="B239:D239"/>
    <mergeCell ref="B238:D238"/>
    <mergeCell ref="B237:D237"/>
    <mergeCell ref="B236:D236"/>
    <mergeCell ref="B235:D235"/>
    <mergeCell ref="B234:D234"/>
    <mergeCell ref="B233:D233"/>
    <mergeCell ref="B232:D232"/>
    <mergeCell ref="B231:D231"/>
    <mergeCell ref="I247:J247"/>
    <mergeCell ref="K247:L247"/>
    <mergeCell ref="M247:N247"/>
    <mergeCell ref="B246:D246"/>
    <mergeCell ref="B245:D245"/>
    <mergeCell ref="B244:D244"/>
    <mergeCell ref="B243:D243"/>
    <mergeCell ref="B242:D242"/>
    <mergeCell ref="B241:D241"/>
    <mergeCell ref="B247:D247"/>
    <mergeCell ref="E247:F247"/>
    <mergeCell ref="G247:H247"/>
    <mergeCell ref="B269:D269"/>
    <mergeCell ref="B267:D267"/>
    <mergeCell ref="B268:D268"/>
    <mergeCell ref="B265:D265"/>
    <mergeCell ref="B266:D266"/>
    <mergeCell ref="B264:D264"/>
    <mergeCell ref="B261:D261"/>
    <mergeCell ref="B262:D262"/>
    <mergeCell ref="B259:D259"/>
    <mergeCell ref="B260:D260"/>
    <mergeCell ref="B240:D240"/>
    <mergeCell ref="B257:D257"/>
    <mergeCell ref="B258:D258"/>
    <mergeCell ref="B255:D255"/>
    <mergeCell ref="B253:D253"/>
    <mergeCell ref="B254:D254"/>
    <mergeCell ref="B251:D251"/>
    <mergeCell ref="B252:D252"/>
    <mergeCell ref="B248:D248"/>
    <mergeCell ref="B250:D250"/>
  </mergeCells>
  <hyperlinks>
    <hyperlink ref="C318" r:id="rId1" display="https://www.sec.gov/Archives/edgar/data/1496963/000114036124043334/ny20035858x6_sctota.htm" xr:uid="{32E9DCC4-F5E8-44CF-83C2-97FC51F6BAAF}"/>
    <hyperlink ref="C320" r:id="rId2" display="https://www.sec.gov/Archives/edgar/data/1496963/000114036124042502/ny20030653x21_sc13e3a.htm" xr:uid="{9D38A6C1-9884-4722-BDB3-0283C42B85C3}"/>
    <hyperlink ref="C322" r:id="rId3" display="https://www.sec.gov/Archives/edgar/data/1496963/000114036124038166/ny20030653x10_ex16bvi.htm" xr:uid="{BAF48C50-4B46-4D43-8032-0C6E97F78029}"/>
    <hyperlink ref="C324" r:id="rId4" display="https://www.sec.gov/Archives/edgar/data/1496963/000149696323000010/sqsp-20221231.htm" xr:uid="{3D69C960-2AF3-4554-8B13-ED762AB9EB2E}"/>
    <hyperlink ref="C325" r:id="rId5" display="https://www.sec.gov/Archives/edgar/data/1496963/000149696324000010/sqsp-20231231.htm" xr:uid="{BF36F0D0-B56F-40D7-9C49-4F1F5A27F1E5}"/>
    <hyperlink ref="C326" r:id="rId6" location="ibd2804b19a4a48c6bb0f7fa3c3deccc5_34" display="https://www.sec.gov/Archives/edgar/data/1496963/000149696321000003/sqsp-20210630.htm - ibd2804b19a4a48c6bb0f7fa3c3deccc5_34" xr:uid="{1FF8EAA1-71E9-4306-9CDC-D3AD6B2FFAE9}"/>
  </hyperlinks>
  <pageMargins left="0.7" right="0.7" top="0.75" bottom="0.75" header="0.3" footer="0.3"/>
  <drawing r:id="rId7"/>
  <legacyDrawing r:id="rId8"/>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E9A5D6-E7C7-44B4-B944-F642775A11FF}">
  <dimension ref="A2:U184"/>
  <sheetViews>
    <sheetView showGridLines="0" zoomScale="75" zoomScaleNormal="130" workbookViewId="0">
      <selection activeCell="B2" sqref="B2"/>
    </sheetView>
  </sheetViews>
  <sheetFormatPr defaultColWidth="15.6640625" defaultRowHeight="14.25" x14ac:dyDescent="0.45"/>
  <cols>
    <col min="1" max="1" width="4.6640625" style="384" customWidth="1"/>
    <col min="2" max="2" width="27.6640625" style="384" customWidth="1"/>
    <col min="3" max="16384" width="15.6640625" style="384"/>
  </cols>
  <sheetData>
    <row r="2" spans="1:14" x14ac:dyDescent="0.45">
      <c r="A2" s="1"/>
      <c r="B2" s="4" t="s">
        <v>19</v>
      </c>
      <c r="C2" s="4"/>
      <c r="D2" s="4"/>
      <c r="F2" s="4" t="s">
        <v>1377</v>
      </c>
      <c r="G2" s="4"/>
      <c r="H2" s="4"/>
      <c r="I2" s="4"/>
      <c r="J2" s="4"/>
      <c r="K2" s="4"/>
      <c r="L2" s="4"/>
      <c r="M2" s="4"/>
      <c r="N2" s="4"/>
    </row>
    <row r="3" spans="1:14" x14ac:dyDescent="0.45">
      <c r="B3" s="617" t="s">
        <v>21</v>
      </c>
      <c r="C3" s="617"/>
    </row>
    <row r="4" spans="1:14" x14ac:dyDescent="0.45">
      <c r="B4" s="365"/>
    </row>
    <row r="5" spans="1:14" x14ac:dyDescent="0.45">
      <c r="B5" s="366" t="s">
        <v>1378</v>
      </c>
      <c r="C5" s="367"/>
      <c r="D5" s="367" t="s">
        <v>25</v>
      </c>
      <c r="F5" s="366" t="s">
        <v>1379</v>
      </c>
      <c r="G5" s="368"/>
      <c r="H5" s="368"/>
      <c r="I5" s="369" t="s">
        <v>25</v>
      </c>
      <c r="L5" s="366" t="s">
        <v>1380</v>
      </c>
      <c r="M5" s="370"/>
      <c r="N5" s="369" t="s">
        <v>25</v>
      </c>
    </row>
    <row r="6" spans="1:14" x14ac:dyDescent="0.45">
      <c r="B6" s="371" t="s">
        <v>69</v>
      </c>
      <c r="D6" s="560">
        <f>'Transaction Details'!C28</f>
        <v>7000202.0277200006</v>
      </c>
      <c r="F6" s="372" t="s">
        <v>28</v>
      </c>
      <c r="G6" s="373"/>
      <c r="H6" s="373"/>
      <c r="I6" s="560">
        <f ca="1">'Transaction Details'!H6</f>
        <v>291183.41795822652</v>
      </c>
      <c r="L6" s="374" t="s">
        <v>29</v>
      </c>
      <c r="M6" s="375"/>
      <c r="N6" s="560">
        <f>'Transaction Details'!O6</f>
        <v>7000202.0277200006</v>
      </c>
    </row>
    <row r="7" spans="1:14" x14ac:dyDescent="0.45">
      <c r="B7" s="371" t="s">
        <v>72</v>
      </c>
      <c r="D7" s="560">
        <f>'Transaction Details'!C12</f>
        <v>6470030</v>
      </c>
      <c r="F7" s="376" t="s">
        <v>31</v>
      </c>
      <c r="G7" s="373"/>
      <c r="H7" s="373"/>
      <c r="I7" s="560">
        <f>'Transaction Details'!H7</f>
        <v>50000</v>
      </c>
      <c r="L7" s="377" t="s">
        <v>1381</v>
      </c>
      <c r="M7" s="373"/>
      <c r="N7" s="560">
        <f>'Transaction Details'!O7</f>
        <v>57140</v>
      </c>
    </row>
    <row r="8" spans="1:14" x14ac:dyDescent="0.45">
      <c r="B8" s="371" t="s">
        <v>1422</v>
      </c>
      <c r="D8" s="560">
        <f>'Transaction Details'!C8</f>
        <v>123315</v>
      </c>
      <c r="F8" s="379" t="s">
        <v>363</v>
      </c>
      <c r="G8" s="373"/>
      <c r="H8" s="373"/>
      <c r="I8" s="560">
        <f>'Transaction Details'!H8</f>
        <v>2300000</v>
      </c>
      <c r="L8" s="377" t="s">
        <v>1382</v>
      </c>
      <c r="M8" s="380"/>
      <c r="N8" s="560">
        <f>'Transaction Details'!O8</f>
        <v>487846</v>
      </c>
    </row>
    <row r="9" spans="1:14" x14ac:dyDescent="0.45">
      <c r="B9" s="371" t="s">
        <v>53</v>
      </c>
      <c r="D9" s="560">
        <f ca="1">'Transaction Details'!C18</f>
        <v>215024.58204177348</v>
      </c>
      <c r="F9" s="594" t="s">
        <v>37</v>
      </c>
      <c r="G9" s="373"/>
      <c r="H9" s="373"/>
      <c r="I9" s="560">
        <f>'Transaction Details'!H9</f>
        <v>300000</v>
      </c>
      <c r="L9" s="377" t="s">
        <v>38</v>
      </c>
      <c r="M9" s="380"/>
      <c r="N9" s="560">
        <f ca="1">'Transaction Details'!O9</f>
        <v>105205.66609761775</v>
      </c>
    </row>
    <row r="10" spans="1:14" x14ac:dyDescent="0.45">
      <c r="B10" s="371" t="s">
        <v>1383</v>
      </c>
      <c r="C10" s="595"/>
      <c r="D10" s="607">
        <f ca="1">'Transaction Details'!C31</f>
        <v>7325580.6097617745</v>
      </c>
      <c r="F10" s="594" t="s">
        <v>39</v>
      </c>
      <c r="G10" s="373"/>
      <c r="H10" s="373"/>
      <c r="I10" s="560">
        <f ca="1">'Transaction Details'!H10</f>
        <v>4709210.2758593913</v>
      </c>
      <c r="L10" s="382" t="s">
        <v>1384</v>
      </c>
      <c r="M10" s="383"/>
      <c r="N10" s="607">
        <f ca="1">'Transaction Details'!O10</f>
        <v>7650393.6938176183</v>
      </c>
    </row>
    <row r="11" spans="1:14" x14ac:dyDescent="0.45">
      <c r="B11" s="371"/>
      <c r="D11" s="592"/>
      <c r="F11" s="382" t="s">
        <v>42</v>
      </c>
      <c r="G11" s="373"/>
      <c r="H11" s="373"/>
      <c r="I11" s="607">
        <f ca="1">'Transaction Details'!H11</f>
        <v>7650393.6938176183</v>
      </c>
    </row>
    <row r="12" spans="1:14" x14ac:dyDescent="0.45">
      <c r="B12" s="371" t="s">
        <v>1385</v>
      </c>
      <c r="D12" s="560">
        <f>'Transaction Details'!C34</f>
        <v>149887921</v>
      </c>
    </row>
    <row r="13" spans="1:14" x14ac:dyDescent="0.45">
      <c r="B13" s="371" t="s">
        <v>1386</v>
      </c>
      <c r="D13" s="515">
        <f>'Transaction Details'!C41</f>
        <v>38.19</v>
      </c>
      <c r="F13" s="385" t="s">
        <v>1388</v>
      </c>
      <c r="G13" s="386"/>
      <c r="H13" s="386"/>
      <c r="I13" s="387">
        <f ca="1">'Transaction Details'!G15</f>
        <v>0.36009298561462005</v>
      </c>
    </row>
    <row r="14" spans="1:14" x14ac:dyDescent="0.45">
      <c r="B14" s="371" t="s">
        <v>1387</v>
      </c>
      <c r="D14" s="560">
        <f>'Transaction Details'!C35</f>
        <v>46.5</v>
      </c>
    </row>
    <row r="15" spans="1:14" x14ac:dyDescent="0.45">
      <c r="B15" s="371" t="s">
        <v>1389</v>
      </c>
      <c r="D15" s="606">
        <f>'Transaction Details'!C42</f>
        <v>0.21759622937941869</v>
      </c>
    </row>
    <row r="17" spans="1:14" x14ac:dyDescent="0.45">
      <c r="A17" s="1"/>
      <c r="B17" s="4" t="s">
        <v>1390</v>
      </c>
      <c r="C17" s="4"/>
      <c r="D17" s="4"/>
      <c r="E17" s="4"/>
      <c r="F17" s="4"/>
      <c r="G17" s="4"/>
      <c r="H17" s="4"/>
      <c r="I17" s="4"/>
      <c r="J17" s="4"/>
      <c r="K17" s="4"/>
      <c r="L17" s="4"/>
      <c r="M17" s="4"/>
      <c r="N17" s="4"/>
    </row>
    <row r="19" spans="1:14" ht="18" x14ac:dyDescent="0.55000000000000004">
      <c r="E19" s="388"/>
      <c r="F19" s="388"/>
      <c r="G19" s="388"/>
      <c r="H19" s="388"/>
      <c r="I19" s="388"/>
      <c r="J19" s="388"/>
      <c r="K19" s="388"/>
      <c r="L19" s="388"/>
    </row>
    <row r="20" spans="1:14" ht="18" x14ac:dyDescent="0.55000000000000004">
      <c r="B20" s="632" t="s">
        <v>1391</v>
      </c>
      <c r="C20" s="632"/>
      <c r="D20" s="632"/>
      <c r="F20" s="632" t="s">
        <v>1392</v>
      </c>
      <c r="G20" s="632"/>
      <c r="H20" s="632"/>
      <c r="J20" s="481"/>
      <c r="K20" s="481" t="s">
        <v>1393</v>
      </c>
      <c r="L20" s="481"/>
    </row>
    <row r="21" spans="1:14" ht="21" x14ac:dyDescent="0.65">
      <c r="B21" s="633">
        <f ca="1">'Transaction Details'!E51/1000000</f>
        <v>4.709210275859391</v>
      </c>
      <c r="C21" s="633"/>
      <c r="D21" s="633"/>
      <c r="E21" s="391"/>
      <c r="F21" s="634">
        <f ca="1">Model!$L$628</f>
        <v>0.19148617386817932</v>
      </c>
      <c r="G21" s="634"/>
      <c r="H21" s="634"/>
      <c r="I21" s="391"/>
      <c r="J21" s="631">
        <f ca="1">Model!$M$628</f>
        <v>2.8817810810952089</v>
      </c>
      <c r="K21" s="631"/>
      <c r="L21" s="631"/>
    </row>
    <row r="22" spans="1:14" ht="21" x14ac:dyDescent="0.65">
      <c r="B22" s="389"/>
      <c r="D22" s="390"/>
    </row>
    <row r="23" spans="1:14" x14ac:dyDescent="0.45">
      <c r="D23" s="373"/>
    </row>
    <row r="24" spans="1:14" x14ac:dyDescent="0.45">
      <c r="A24" s="1"/>
      <c r="B24" s="4" t="s">
        <v>1390</v>
      </c>
      <c r="C24" s="4"/>
      <c r="D24" s="4"/>
      <c r="E24" s="4"/>
      <c r="F24" s="4"/>
      <c r="G24" s="4"/>
      <c r="H24" s="4"/>
      <c r="I24" s="4"/>
      <c r="J24" s="4"/>
      <c r="K24" s="4"/>
      <c r="L24" s="4"/>
      <c r="M24" s="4"/>
      <c r="N24" s="4"/>
    </row>
    <row r="26" spans="1:14" ht="14.65" thickBot="1" x14ac:dyDescent="0.5">
      <c r="H26" s="392">
        <v>24</v>
      </c>
      <c r="I26" s="393">
        <f t="shared" ref="I26:N26" si="0">H26+1</f>
        <v>25</v>
      </c>
      <c r="J26" s="393">
        <f>I26+1</f>
        <v>26</v>
      </c>
      <c r="K26" s="393">
        <f t="shared" si="0"/>
        <v>27</v>
      </c>
      <c r="L26" s="393">
        <f t="shared" si="0"/>
        <v>28</v>
      </c>
      <c r="M26" s="393">
        <f t="shared" si="0"/>
        <v>29</v>
      </c>
      <c r="N26" s="393">
        <f t="shared" si="0"/>
        <v>30</v>
      </c>
    </row>
    <row r="28" spans="1:14" x14ac:dyDescent="0.45">
      <c r="B28" s="64" t="s">
        <v>1394</v>
      </c>
    </row>
    <row r="29" spans="1:14" x14ac:dyDescent="0.45">
      <c r="B29" s="384" t="s">
        <v>1452</v>
      </c>
      <c r="H29" s="514">
        <f>Model!L601</f>
        <v>133242.17113718399</v>
      </c>
      <c r="I29" s="514">
        <f>Model!M601</f>
        <v>199605.6130536134</v>
      </c>
      <c r="J29" s="514">
        <f>Model!N601</f>
        <v>253418.55625622204</v>
      </c>
      <c r="K29" s="514">
        <f>Model!O601</f>
        <v>315449.79181889235</v>
      </c>
      <c r="L29" s="514">
        <f>Model!P601</f>
        <v>414114.79347364936</v>
      </c>
      <c r="M29" s="514">
        <f>Model!Q601</f>
        <v>523649.14470364433</v>
      </c>
      <c r="N29" s="514">
        <f>Model!R601</f>
        <v>711313.52959640371</v>
      </c>
    </row>
    <row r="30" spans="1:14" x14ac:dyDescent="0.45">
      <c r="B30" s="384" t="s">
        <v>1445</v>
      </c>
      <c r="H30" s="606">
        <f>H29/Model!L10</f>
        <v>0.11313607657198342</v>
      </c>
      <c r="I30" s="606">
        <f>I29/Model!M10</f>
        <v>0.15303531878235038</v>
      </c>
      <c r="J30" s="606">
        <f>J29/Model!N10</f>
        <v>0.17294686661603415</v>
      </c>
      <c r="K30" s="606">
        <f>K29/Model!O10</f>
        <v>0.18930867386180308</v>
      </c>
      <c r="L30" s="606">
        <f>L29/Model!P10</f>
        <v>0.21742971654457616</v>
      </c>
      <c r="M30" s="606">
        <f>M29/Model!Q10</f>
        <v>0.23975674828462434</v>
      </c>
      <c r="N30" s="606">
        <f>N29/Model!R10</f>
        <v>0.28211223020546944</v>
      </c>
    </row>
    <row r="31" spans="1:14" x14ac:dyDescent="0.45">
      <c r="B31" s="384" t="s">
        <v>1420</v>
      </c>
      <c r="H31" s="514">
        <f ca="1">Model!L224</f>
        <v>10280.963578651332</v>
      </c>
      <c r="I31" s="514">
        <f ca="1">Model!M224</f>
        <v>14952.06557543869</v>
      </c>
      <c r="J31" s="514">
        <f ca="1">Model!N224</f>
        <v>8765.9737348069284</v>
      </c>
      <c r="K31" s="514">
        <f ca="1">Model!O224</f>
        <v>283.14112146516408</v>
      </c>
      <c r="L31" s="514">
        <f ca="1">Model!P224</f>
        <v>-10859.224290992041</v>
      </c>
      <c r="M31" s="514">
        <f ca="1">Model!Q224</f>
        <v>-24763.073053353768</v>
      </c>
      <c r="N31" s="514">
        <f ca="1">Model!R224</f>
        <v>-44632.019381153761</v>
      </c>
    </row>
    <row r="32" spans="1:14" x14ac:dyDescent="0.45">
      <c r="B32" s="384" t="s">
        <v>1395</v>
      </c>
      <c r="H32" s="514">
        <f>Model!L246</f>
        <v>23554.320633066669</v>
      </c>
      <c r="I32" s="514">
        <f>Model!M246</f>
        <v>26086.215213822132</v>
      </c>
      <c r="J32" s="514">
        <f>Model!N246</f>
        <v>29305.943636301443</v>
      </c>
      <c r="K32" s="514">
        <f>Model!O246</f>
        <v>33326.501674104307</v>
      </c>
      <c r="L32" s="514">
        <f>Model!P246</f>
        <v>38091.830321523696</v>
      </c>
      <c r="M32" s="514">
        <f>Model!Q246</f>
        <v>43681.702262828534</v>
      </c>
      <c r="N32" s="514">
        <f>Model!R246</f>
        <v>50427.698868520245</v>
      </c>
    </row>
    <row r="33" spans="1:21" x14ac:dyDescent="0.45">
      <c r="B33" s="384" t="s">
        <v>401</v>
      </c>
      <c r="H33" s="514">
        <f ca="1">Model!L564*-1</f>
        <v>71597.301905277767</v>
      </c>
      <c r="I33" s="514">
        <f ca="1">Model!M564*-1</f>
        <v>270592.87174849835</v>
      </c>
      <c r="J33" s="514">
        <f ca="1">Model!N564*-1</f>
        <v>268640.3204731294</v>
      </c>
      <c r="K33" s="514">
        <f ca="1">Model!O564*-1</f>
        <v>259313.80239935761</v>
      </c>
      <c r="L33" s="514">
        <f ca="1">Model!P564*-1</f>
        <v>242041.65858280237</v>
      </c>
      <c r="M33" s="514">
        <f ca="1">Model!Q564*-1</f>
        <v>218595.7552153455</v>
      </c>
      <c r="N33" s="514">
        <f ca="1">Model!R564*-1</f>
        <v>200041.20489535228</v>
      </c>
    </row>
    <row r="34" spans="1:21" x14ac:dyDescent="0.45">
      <c r="B34" s="384" t="s">
        <v>1396</v>
      </c>
      <c r="H34" s="608">
        <f>Model!L430*-1</f>
        <v>0</v>
      </c>
      <c r="I34" s="514">
        <f>Model!M430*-1</f>
        <v>19500</v>
      </c>
      <c r="J34" s="514">
        <f>Model!N430*-1</f>
        <v>26000</v>
      </c>
      <c r="K34" s="514">
        <f>Model!O430*-1</f>
        <v>26000</v>
      </c>
      <c r="L34" s="514">
        <f>Model!P430*-1</f>
        <v>26000</v>
      </c>
      <c r="M34" s="514">
        <f>Model!Q430*-1</f>
        <v>26000</v>
      </c>
      <c r="N34" s="514">
        <f>Model!R430*-1</f>
        <v>26000</v>
      </c>
    </row>
    <row r="35" spans="1:21" x14ac:dyDescent="0.45">
      <c r="B35" s="384" t="s">
        <v>1450</v>
      </c>
      <c r="H35" s="514">
        <f ca="1">Model!L606/1000</f>
        <v>2650.0000399999999</v>
      </c>
      <c r="I35" s="514">
        <f ca="1">Model!M606/1000</f>
        <v>2744.7739840205686</v>
      </c>
      <c r="J35" s="514">
        <f ca="1">Model!N606/1000</f>
        <v>2758.2711605297095</v>
      </c>
      <c r="K35" s="514">
        <f ca="1">Model!O606/1000</f>
        <v>2703.8415808996238</v>
      </c>
      <c r="L35" s="514">
        <f ca="1">Model!P606/1000</f>
        <v>2542.7261629472478</v>
      </c>
      <c r="M35" s="514">
        <f ca="1">Model!Q606/1000</f>
        <v>2383.1564561060695</v>
      </c>
      <c r="N35" s="514">
        <f ca="1">Model!R606/1000</f>
        <v>2093.6663740836966</v>
      </c>
    </row>
    <row r="36" spans="1:21" x14ac:dyDescent="0.45">
      <c r="B36" s="384" t="s">
        <v>464</v>
      </c>
      <c r="H36" s="514">
        <f ca="1">Model!L607*-1</f>
        <v>12353.438354750804</v>
      </c>
      <c r="I36" s="514">
        <f ca="1">Model!M607*-1</f>
        <v>38778</v>
      </c>
      <c r="J36" s="514">
        <f ca="1">Model!N607*-1</f>
        <v>38778</v>
      </c>
      <c r="K36" s="514">
        <f ca="1">Model!O607*-1</f>
        <v>38778</v>
      </c>
      <c r="L36" s="514">
        <f ca="1">Model!P607*-1</f>
        <v>38778</v>
      </c>
      <c r="M36" s="514">
        <f ca="1">Model!Q607*-1</f>
        <v>158855.28564968749</v>
      </c>
      <c r="N36" s="514">
        <f ca="1">Model!R607*-1</f>
        <v>335807.68530326779</v>
      </c>
    </row>
    <row r="37" spans="1:21" x14ac:dyDescent="0.45">
      <c r="B37" s="64" t="s">
        <v>1444</v>
      </c>
      <c r="H37" s="394">
        <f t="shared" ref="H37:N37" ca="1" si="1">H35/H29</f>
        <v>1.9888598462356206E-2</v>
      </c>
      <c r="I37" s="394">
        <f t="shared" ca="1" si="1"/>
        <v>1.3750985966929355E-2</v>
      </c>
      <c r="J37" s="394">
        <f t="shared" ca="1" si="1"/>
        <v>1.0884250945463221E-2</v>
      </c>
      <c r="K37" s="394">
        <f t="shared" ca="1" si="1"/>
        <v>8.5713848955461264E-3</v>
      </c>
      <c r="L37" s="394">
        <f t="shared" ca="1" si="1"/>
        <v>6.1401481014926474E-3</v>
      </c>
      <c r="M37" s="394">
        <f t="shared" ca="1" si="1"/>
        <v>4.5510557597774762E-3</v>
      </c>
      <c r="N37" s="394">
        <f t="shared" ca="1" si="1"/>
        <v>2.9433805023667049E-3</v>
      </c>
    </row>
    <row r="38" spans="1:21" x14ac:dyDescent="0.45">
      <c r="B38" s="64" t="s">
        <v>1397</v>
      </c>
      <c r="H38" s="395">
        <f t="shared" ref="H38:N38" ca="1" si="2">IFERROR((H29+H31-H32)/(H34+H33),"N/A")</f>
        <v>1.6756052377711905</v>
      </c>
      <c r="I38" s="395">
        <f t="shared" ca="1" si="2"/>
        <v>0.64969353531247387</v>
      </c>
      <c r="J38" s="395">
        <f t="shared" ca="1" si="2"/>
        <v>0.79038261287787859</v>
      </c>
      <c r="K38" s="395">
        <f t="shared" ca="1" si="2"/>
        <v>0.98980991768132243</v>
      </c>
      <c r="L38" s="395">
        <f t="shared" ca="1" si="2"/>
        <v>1.3623394989862319</v>
      </c>
      <c r="M38" s="395">
        <f t="shared" ca="1" si="2"/>
        <v>1.8610477070082176</v>
      </c>
      <c r="N38" s="395">
        <f t="shared" ca="1" si="2"/>
        <v>2.7262897117896259</v>
      </c>
    </row>
    <row r="40" spans="1:21" x14ac:dyDescent="0.45">
      <c r="A40" s="1"/>
      <c r="B40" s="4" t="s">
        <v>1390</v>
      </c>
      <c r="C40" s="4"/>
      <c r="D40" s="4"/>
      <c r="E40" s="4"/>
      <c r="F40" s="4"/>
      <c r="G40" s="4"/>
      <c r="H40" s="4"/>
      <c r="I40" s="4"/>
      <c r="J40" s="4"/>
      <c r="K40" s="4"/>
      <c r="L40" s="4"/>
      <c r="M40" s="4"/>
      <c r="N40" s="4"/>
    </row>
    <row r="41" spans="1:21" x14ac:dyDescent="0.45">
      <c r="A41" s="1"/>
      <c r="B41" s="1"/>
      <c r="C41" s="1"/>
      <c r="D41" s="1"/>
      <c r="E41" s="1"/>
      <c r="F41" s="1"/>
      <c r="G41" s="1"/>
      <c r="H41" s="1"/>
      <c r="I41" s="1"/>
      <c r="J41" s="1"/>
      <c r="K41" s="1"/>
      <c r="L41" s="1"/>
      <c r="M41" s="1"/>
      <c r="N41" s="1"/>
      <c r="O41" s="1"/>
    </row>
    <row r="42" spans="1:21" ht="18" x14ac:dyDescent="0.55000000000000004">
      <c r="B42" s="158"/>
      <c r="C42" s="158"/>
      <c r="D42" s="158"/>
      <c r="E42" s="630"/>
      <c r="F42" s="630"/>
      <c r="G42" s="630"/>
      <c r="H42" s="630"/>
      <c r="I42" s="630"/>
      <c r="J42" s="396"/>
      <c r="K42" s="396"/>
      <c r="L42" s="396"/>
      <c r="M42" s="396"/>
      <c r="O42" s="398" t="s">
        <v>1398</v>
      </c>
      <c r="P42" s="596"/>
      <c r="Q42" s="596"/>
      <c r="R42" s="597" t="s">
        <v>1399</v>
      </c>
      <c r="S42" s="597" t="s">
        <v>1400</v>
      </c>
      <c r="T42" s="597" t="s">
        <v>1401</v>
      </c>
      <c r="U42" s="597" t="s">
        <v>1402</v>
      </c>
    </row>
    <row r="43" spans="1:21" x14ac:dyDescent="0.45">
      <c r="B43" s="610"/>
      <c r="O43" s="384" t="s">
        <v>1404</v>
      </c>
      <c r="Q43" s="378">
        <v>4492.6863424657531</v>
      </c>
      <c r="R43" s="598"/>
      <c r="S43" s="598"/>
      <c r="T43" s="598"/>
      <c r="U43" s="599"/>
    </row>
    <row r="44" spans="1:21" ht="14.25" customHeight="1" x14ac:dyDescent="0.45">
      <c r="B44" s="610"/>
      <c r="O44" s="384" t="s">
        <v>38</v>
      </c>
      <c r="Q44" s="378">
        <v>-115.5</v>
      </c>
      <c r="R44" s="598"/>
      <c r="S44" s="598"/>
      <c r="T44" s="598"/>
      <c r="U44" s="599"/>
    </row>
    <row r="45" spans="1:21" x14ac:dyDescent="0.45">
      <c r="B45" s="609"/>
      <c r="C45" s="611"/>
      <c r="D45" s="609"/>
      <c r="O45" s="384" t="s">
        <v>33</v>
      </c>
      <c r="Q45" s="598">
        <f>T45*U45</f>
        <v>9369767.3655950464</v>
      </c>
      <c r="R45" s="598">
        <f>H29</f>
        <v>133242.17113718399</v>
      </c>
      <c r="S45" s="598">
        <f>M29</f>
        <v>523649.14470364433</v>
      </c>
      <c r="T45" s="598">
        <f>S45-R45</f>
        <v>390406.97356646031</v>
      </c>
      <c r="U45" s="400">
        <v>24</v>
      </c>
    </row>
    <row r="46" spans="1:21" x14ac:dyDescent="0.45">
      <c r="B46" s="610"/>
      <c r="O46" s="384" t="s">
        <v>81</v>
      </c>
      <c r="Q46" s="401">
        <v>0</v>
      </c>
      <c r="R46" s="600" t="s">
        <v>1405</v>
      </c>
      <c r="S46" s="400">
        <v>24</v>
      </c>
      <c r="T46" s="401">
        <v>0</v>
      </c>
      <c r="U46" s="599">
        <f>S45</f>
        <v>523649.14470364433</v>
      </c>
    </row>
    <row r="47" spans="1:21" x14ac:dyDescent="0.45">
      <c r="B47" s="610"/>
      <c r="O47" s="384" t="s">
        <v>53</v>
      </c>
      <c r="Q47" s="601">
        <f ca="1">T47</f>
        <v>146768.69087883062</v>
      </c>
      <c r="R47" s="601">
        <f ca="1">H35-H36</f>
        <v>-9703.4383147508051</v>
      </c>
      <c r="S47" s="601">
        <f ca="1">M35-M36</f>
        <v>-156472.12919358141</v>
      </c>
      <c r="T47" s="601">
        <f ca="1">R47-S47</f>
        <v>146768.69087883062</v>
      </c>
      <c r="U47" s="602" t="s">
        <v>1405</v>
      </c>
    </row>
    <row r="48" spans="1:21" x14ac:dyDescent="0.45">
      <c r="O48" s="64" t="s">
        <v>1406</v>
      </c>
      <c r="Q48" s="402">
        <f ca="1">SUM(Q43:Q47)</f>
        <v>9520913.2428163439</v>
      </c>
      <c r="R48" s="599"/>
      <c r="S48" s="599"/>
      <c r="T48" s="599"/>
      <c r="U48" s="599"/>
    </row>
    <row r="51" spans="2:18" x14ac:dyDescent="0.45">
      <c r="O51" s="398" t="s">
        <v>1407</v>
      </c>
      <c r="P51" s="596"/>
      <c r="Q51" s="403" t="s">
        <v>425</v>
      </c>
      <c r="R51" s="403" t="s">
        <v>1403</v>
      </c>
    </row>
    <row r="52" spans="2:18" ht="18" x14ac:dyDescent="0.55000000000000004">
      <c r="E52" s="396"/>
      <c r="F52" s="396"/>
      <c r="O52" s="404">
        <v>1</v>
      </c>
      <c r="Q52" s="405">
        <f ca="1">Model!L633</f>
        <v>-0.64737682715058331</v>
      </c>
      <c r="R52" s="406">
        <f ca="1">Model!M633</f>
        <v>0.33880313684122165</v>
      </c>
    </row>
    <row r="53" spans="2:18" x14ac:dyDescent="0.45">
      <c r="O53" s="407">
        <f>O52+1</f>
        <v>2</v>
      </c>
      <c r="Q53" s="405">
        <f ca="1">Model!L632</f>
        <v>-0.23309159353375442</v>
      </c>
      <c r="R53" s="406">
        <f ca="1">Model!M632</f>
        <v>0.58219195366760046</v>
      </c>
    </row>
    <row r="54" spans="2:18" x14ac:dyDescent="0.45">
      <c r="F54" s="399"/>
      <c r="O54" s="407">
        <f t="shared" ref="O54:O57" si="3">O53+1</f>
        <v>3</v>
      </c>
      <c r="Q54" s="405">
        <f ca="1">Model!L631</f>
        <v>-4.205717146396637E-2</v>
      </c>
      <c r="R54" s="406">
        <f ca="1">Model!M631</f>
        <v>0.87761296700768909</v>
      </c>
    </row>
    <row r="55" spans="2:18" x14ac:dyDescent="0.45">
      <c r="O55" s="407">
        <f t="shared" si="3"/>
        <v>4</v>
      </c>
      <c r="Q55" s="405">
        <f ca="1">Model!L630</f>
        <v>7.9712191224098228E-2</v>
      </c>
      <c r="R55" s="406">
        <f ca="1">Model!M630</f>
        <v>1.3633295189112313</v>
      </c>
    </row>
    <row r="56" spans="2:18" x14ac:dyDescent="0.45">
      <c r="O56" s="407">
        <f t="shared" si="3"/>
        <v>5</v>
      </c>
      <c r="Q56" s="405">
        <f ca="1">Model!L629</f>
        <v>0.13861173987388611</v>
      </c>
      <c r="R56" s="406">
        <f ca="1">Model!M629</f>
        <v>1.9239557702213128</v>
      </c>
    </row>
    <row r="57" spans="2:18" x14ac:dyDescent="0.45">
      <c r="O57" s="407">
        <f t="shared" si="3"/>
        <v>6</v>
      </c>
      <c r="Q57" s="405">
        <f ca="1">Model!L628</f>
        <v>0.19148617386817932</v>
      </c>
      <c r="R57" s="406">
        <f ca="1">Model!M628</f>
        <v>2.8817810810952089</v>
      </c>
    </row>
    <row r="58" spans="2:18" x14ac:dyDescent="0.45">
      <c r="O58" s="407"/>
    </row>
    <row r="59" spans="2:18" x14ac:dyDescent="0.45">
      <c r="O59" s="407"/>
    </row>
    <row r="61" spans="2:18" ht="18" x14ac:dyDescent="0.55000000000000004">
      <c r="E61" s="396"/>
      <c r="F61" s="396"/>
      <c r="H61" s="396"/>
      <c r="I61" s="396"/>
      <c r="J61" s="396"/>
      <c r="K61" s="396"/>
      <c r="L61" s="396"/>
      <c r="M61" s="396"/>
    </row>
    <row r="62" spans="2:18" ht="18.399999999999999" thickBot="1" x14ac:dyDescent="0.6">
      <c r="B62" s="396"/>
      <c r="C62" s="396"/>
      <c r="D62" s="396"/>
      <c r="H62" s="392">
        <v>24</v>
      </c>
      <c r="I62" s="393">
        <f t="shared" ref="I62" si="4">H62+1</f>
        <v>25</v>
      </c>
      <c r="J62" s="393">
        <f>I62+1</f>
        <v>26</v>
      </c>
      <c r="K62" s="393">
        <f t="shared" ref="K62" si="5">J62+1</f>
        <v>27</v>
      </c>
      <c r="L62" s="393">
        <f t="shared" ref="L62" si="6">K62+1</f>
        <v>28</v>
      </c>
      <c r="M62" s="393">
        <f t="shared" ref="M62" si="7">L62+1</f>
        <v>29</v>
      </c>
      <c r="N62" s="393">
        <f t="shared" ref="N62" si="8">M62+1</f>
        <v>30</v>
      </c>
      <c r="Q62" s="381"/>
    </row>
    <row r="63" spans="2:18" x14ac:dyDescent="0.45">
      <c r="Q63" s="381"/>
    </row>
    <row r="64" spans="2:18" x14ac:dyDescent="0.45">
      <c r="Q64" s="381"/>
    </row>
    <row r="65" spans="2:17" x14ac:dyDescent="0.45">
      <c r="B65" s="384" t="s">
        <v>1451</v>
      </c>
      <c r="H65" s="514">
        <f ca="1">H35</f>
        <v>2650.0000399999999</v>
      </c>
      <c r="I65" s="514">
        <f t="shared" ref="I65:N65" ca="1" si="9">I35</f>
        <v>2744.7739840205686</v>
      </c>
      <c r="J65" s="514">
        <f t="shared" ca="1" si="9"/>
        <v>2758.2711605297095</v>
      </c>
      <c r="K65" s="514">
        <f t="shared" ca="1" si="9"/>
        <v>2703.8415808996238</v>
      </c>
      <c r="L65" s="514">
        <f t="shared" ca="1" si="9"/>
        <v>2542.7261629472478</v>
      </c>
      <c r="M65" s="514">
        <f t="shared" ca="1" si="9"/>
        <v>2383.1564561060695</v>
      </c>
      <c r="N65" s="514">
        <f t="shared" ca="1" si="9"/>
        <v>2093.6663740836966</v>
      </c>
      <c r="O65" s="398" t="s">
        <v>1408</v>
      </c>
      <c r="P65" s="398"/>
      <c r="Q65" s="398"/>
    </row>
    <row r="66" spans="2:17" x14ac:dyDescent="0.45">
      <c r="O66" s="384" t="s">
        <v>1409</v>
      </c>
      <c r="Q66" s="408">
        <f ca="1">'Transaction Details'!C6</f>
        <v>59.405430075512101</v>
      </c>
    </row>
    <row r="67" spans="2:17" x14ac:dyDescent="0.45">
      <c r="O67" s="384" t="s">
        <v>30</v>
      </c>
      <c r="Q67" s="400">
        <f ca="1">'Transaction Details'!C7</f>
        <v>21.549951084648498</v>
      </c>
    </row>
    <row r="68" spans="2:17" x14ac:dyDescent="0.45">
      <c r="O68" s="384" t="s">
        <v>1410</v>
      </c>
      <c r="Q68" s="409">
        <f ca="1">'Transaction Details'!G15</f>
        <v>0.36009298561462005</v>
      </c>
    </row>
    <row r="79" spans="2:17" ht="18" x14ac:dyDescent="0.55000000000000004">
      <c r="B79"/>
      <c r="C79"/>
      <c r="D79"/>
      <c r="E79"/>
      <c r="F79"/>
      <c r="G79"/>
      <c r="H79"/>
      <c r="I79"/>
      <c r="J79"/>
      <c r="K79"/>
      <c r="L79"/>
      <c r="M79" s="396"/>
    </row>
    <row r="80" spans="2:17" x14ac:dyDescent="0.45">
      <c r="B80"/>
      <c r="C80"/>
      <c r="D80"/>
      <c r="E80"/>
      <c r="F80"/>
      <c r="G80"/>
      <c r="H80"/>
      <c r="I80"/>
      <c r="J80"/>
      <c r="K80"/>
      <c r="L80"/>
    </row>
    <row r="81" spans="2:16" x14ac:dyDescent="0.45">
      <c r="B81"/>
      <c r="C81"/>
      <c r="D81"/>
      <c r="E81"/>
      <c r="F81"/>
      <c r="G81"/>
      <c r="H81"/>
      <c r="I81"/>
      <c r="J81"/>
      <c r="K81"/>
      <c r="L81"/>
    </row>
    <row r="82" spans="2:16" x14ac:dyDescent="0.45">
      <c r="B82"/>
      <c r="C82"/>
      <c r="D82"/>
      <c r="E82"/>
      <c r="F82"/>
      <c r="G82"/>
      <c r="H82"/>
      <c r="I82"/>
      <c r="J82"/>
      <c r="K82"/>
      <c r="L82"/>
    </row>
    <row r="83" spans="2:16" x14ac:dyDescent="0.45">
      <c r="B83"/>
      <c r="C83"/>
      <c r="D83"/>
      <c r="E83"/>
      <c r="F83"/>
      <c r="G83"/>
      <c r="H83"/>
      <c r="I83"/>
      <c r="J83"/>
      <c r="K83"/>
      <c r="L83"/>
    </row>
    <row r="84" spans="2:16" x14ac:dyDescent="0.45">
      <c r="B84"/>
      <c r="C84"/>
      <c r="D84"/>
      <c r="E84"/>
      <c r="F84"/>
      <c r="G84"/>
      <c r="H84"/>
      <c r="I84"/>
      <c r="J84"/>
      <c r="K84"/>
      <c r="L84"/>
    </row>
    <row r="85" spans="2:16" x14ac:dyDescent="0.45">
      <c r="B85"/>
      <c r="C85"/>
      <c r="D85"/>
      <c r="E85"/>
      <c r="F85"/>
      <c r="G85"/>
      <c r="H85"/>
      <c r="I85"/>
      <c r="J85"/>
      <c r="K85"/>
      <c r="L85"/>
    </row>
    <row r="86" spans="2:16" x14ac:dyDescent="0.45">
      <c r="B86"/>
      <c r="C86"/>
      <c r="D86"/>
      <c r="E86"/>
      <c r="F86"/>
      <c r="G86"/>
      <c r="H86"/>
      <c r="I86"/>
      <c r="J86"/>
      <c r="K86"/>
      <c r="L86"/>
    </row>
    <row r="87" spans="2:16" x14ac:dyDescent="0.45">
      <c r="P87" s="410">
        <v>0.19518026856757409</v>
      </c>
    </row>
    <row r="97" spans="2:20" ht="18" x14ac:dyDescent="0.55000000000000004">
      <c r="H97" s="396"/>
      <c r="M97" s="396" t="s">
        <v>1434</v>
      </c>
    </row>
    <row r="98" spans="2:20" x14ac:dyDescent="0.45">
      <c r="E98" s="397"/>
      <c r="F98" s="397"/>
    </row>
    <row r="99" spans="2:20" ht="18" x14ac:dyDescent="0.55000000000000004">
      <c r="B99" s="396"/>
      <c r="C99" s="397"/>
      <c r="D99" s="397"/>
      <c r="M99" s="64" t="s">
        <v>33</v>
      </c>
      <c r="N99" s="384">
        <v>133242.17113718399</v>
      </c>
      <c r="O99" s="384">
        <v>199605.6130536134</v>
      </c>
      <c r="P99" s="384">
        <v>253418.55625622204</v>
      </c>
      <c r="Q99" s="384">
        <v>315449.79181889235</v>
      </c>
      <c r="R99" s="384">
        <v>414114.79347364936</v>
      </c>
      <c r="S99" s="384">
        <v>523649.14470364433</v>
      </c>
      <c r="T99" s="384">
        <v>711313.52959640371</v>
      </c>
    </row>
    <row r="100" spans="2:20" x14ac:dyDescent="0.45">
      <c r="M100" s="64" t="s">
        <v>177</v>
      </c>
      <c r="N100" s="384">
        <v>1177716.0316533335</v>
      </c>
      <c r="O100" s="384">
        <v>1304310.7606911066</v>
      </c>
      <c r="P100" s="384">
        <v>1465297.1818150722</v>
      </c>
      <c r="Q100" s="384">
        <v>1666325.0837052155</v>
      </c>
      <c r="R100" s="384">
        <v>1904591.5160761846</v>
      </c>
      <c r="S100" s="384">
        <v>2184085.1131414268</v>
      </c>
      <c r="T100" s="384">
        <v>2521384.9434260121</v>
      </c>
    </row>
    <row r="101" spans="2:20" s="64" customFormat="1" x14ac:dyDescent="0.45">
      <c r="M101" s="64" t="s">
        <v>1435</v>
      </c>
      <c r="N101" s="603">
        <f>N99/N100</f>
        <v>0.11313607657198342</v>
      </c>
      <c r="O101" s="603">
        <f t="shared" ref="O101:T101" si="10">O99/O100</f>
        <v>0.15303531878235038</v>
      </c>
      <c r="P101" s="603">
        <f t="shared" si="10"/>
        <v>0.17294686661603415</v>
      </c>
      <c r="Q101" s="603">
        <f t="shared" si="10"/>
        <v>0.18930867386180308</v>
      </c>
      <c r="R101" s="603">
        <f t="shared" si="10"/>
        <v>0.21742971654457616</v>
      </c>
      <c r="S101" s="603">
        <f t="shared" si="10"/>
        <v>0.23975674828462434</v>
      </c>
      <c r="T101" s="603">
        <f t="shared" si="10"/>
        <v>0.28211223020546944</v>
      </c>
    </row>
    <row r="121" spans="2:13" ht="18" x14ac:dyDescent="0.55000000000000004">
      <c r="B121" s="364" t="s">
        <v>1414</v>
      </c>
      <c r="C121" s="364"/>
      <c r="D121" s="364"/>
      <c r="E121" s="364"/>
      <c r="F121" s="364"/>
      <c r="G121" s="364"/>
      <c r="H121" s="364"/>
      <c r="I121" s="364"/>
      <c r="J121" s="364"/>
      <c r="K121" s="364"/>
      <c r="L121" s="364"/>
      <c r="M121" s="364"/>
    </row>
    <row r="123" spans="2:13" x14ac:dyDescent="0.45">
      <c r="E123" s="593">
        <v>133242.17113718399</v>
      </c>
    </row>
    <row r="124" spans="2:13" x14ac:dyDescent="0.45">
      <c r="B124" s="593">
        <v>-208154</v>
      </c>
      <c r="C124" s="593">
        <v>-180197</v>
      </c>
      <c r="D124" s="593">
        <v>127655</v>
      </c>
      <c r="E124" s="593">
        <v>1177716.0316533335</v>
      </c>
    </row>
    <row r="125" spans="2:13" x14ac:dyDescent="0.45">
      <c r="B125" s="593">
        <v>784038</v>
      </c>
      <c r="C125" s="593">
        <v>866972</v>
      </c>
      <c r="D125" s="593">
        <v>1012336</v>
      </c>
    </row>
    <row r="126" spans="2:13" x14ac:dyDescent="0.45">
      <c r="F126" s="384" t="s">
        <v>289</v>
      </c>
    </row>
    <row r="127" spans="2:13" x14ac:dyDescent="0.45">
      <c r="B127" s="384" t="s">
        <v>33</v>
      </c>
      <c r="D127" s="384" t="s">
        <v>1415</v>
      </c>
      <c r="F127" s="384" t="s">
        <v>1416</v>
      </c>
    </row>
    <row r="128" spans="2:13" x14ac:dyDescent="0.45">
      <c r="B128" s="384" cm="1">
        <f t="array" ref="B128:B131">TRANSPOSE(B123:E123)</f>
        <v>0</v>
      </c>
      <c r="D128" s="384" cm="1">
        <f t="array" ref="D128:D131">TRANSPOSE(B124:E124)</f>
        <v>-208154</v>
      </c>
      <c r="F128" s="384" t="s">
        <v>1416</v>
      </c>
    </row>
    <row r="129" spans="2:8" x14ac:dyDescent="0.45">
      <c r="B129" s="384">
        <v>0</v>
      </c>
      <c r="D129" s="384">
        <v>-180197</v>
      </c>
      <c r="F129" s="384">
        <f>B130/D130</f>
        <v>0</v>
      </c>
    </row>
    <row r="130" spans="2:8" x14ac:dyDescent="0.45">
      <c r="B130" s="384">
        <v>0</v>
      </c>
      <c r="D130" s="384">
        <v>127655</v>
      </c>
      <c r="F130" s="384">
        <f>B131/D131</f>
        <v>0.11313607657198342</v>
      </c>
    </row>
    <row r="131" spans="2:8" x14ac:dyDescent="0.45">
      <c r="B131" s="384">
        <v>133242.17113718399</v>
      </c>
      <c r="D131" s="384">
        <v>1177716.0316533335</v>
      </c>
    </row>
    <row r="133" spans="2:8" x14ac:dyDescent="0.45">
      <c r="D133" s="384">
        <v>2019</v>
      </c>
      <c r="E133" s="384">
        <f>D133+1</f>
        <v>2020</v>
      </c>
      <c r="F133" s="384">
        <f t="shared" ref="F133:H133" si="11">E133+1</f>
        <v>2021</v>
      </c>
      <c r="G133" s="384">
        <f t="shared" si="11"/>
        <v>2022</v>
      </c>
      <c r="H133" s="384">
        <f t="shared" si="11"/>
        <v>2023</v>
      </c>
    </row>
    <row r="134" spans="2:8" x14ac:dyDescent="0.45">
      <c r="B134" s="384" t="s">
        <v>1419</v>
      </c>
      <c r="D134" s="289">
        <v>2980</v>
      </c>
      <c r="E134" s="289">
        <v>3660</v>
      </c>
      <c r="F134" s="289">
        <v>4086</v>
      </c>
      <c r="G134" s="289">
        <v>4204</v>
      </c>
      <c r="H134" s="290">
        <v>4631</v>
      </c>
    </row>
    <row r="135" spans="2:8" x14ac:dyDescent="0.45">
      <c r="B135" s="384" t="s">
        <v>1417</v>
      </c>
      <c r="D135" s="604">
        <v>1.2542087542087541</v>
      </c>
      <c r="E135" s="604">
        <v>1.2281879194630871</v>
      </c>
      <c r="F135" s="604">
        <v>1.1176148796498906</v>
      </c>
      <c r="G135" s="604">
        <v>1.0288790993636809</v>
      </c>
      <c r="H135" s="604">
        <v>1.101569933396765</v>
      </c>
    </row>
    <row r="136" spans="2:8" x14ac:dyDescent="0.45">
      <c r="B136" s="384" t="s">
        <v>1418</v>
      </c>
    </row>
    <row r="158" spans="2:7" x14ac:dyDescent="0.45">
      <c r="B158" s="384" t="s">
        <v>1419</v>
      </c>
      <c r="C158" s="384">
        <v>2020</v>
      </c>
      <c r="D158" s="384">
        <f>C158+1</f>
        <v>2021</v>
      </c>
      <c r="E158" s="384">
        <f>D158+1</f>
        <v>2022</v>
      </c>
      <c r="F158" s="384">
        <f>E158+1</f>
        <v>2023</v>
      </c>
      <c r="G158" s="384">
        <f>F158+1</f>
        <v>2024</v>
      </c>
    </row>
    <row r="159" spans="2:7" x14ac:dyDescent="0.45">
      <c r="B159" s="384" t="s">
        <v>1421</v>
      </c>
      <c r="C159" s="289">
        <v>177</v>
      </c>
      <c r="D159" s="289">
        <v>187</v>
      </c>
      <c r="E159" s="289">
        <v>191</v>
      </c>
      <c r="F159" s="289">
        <v>211</v>
      </c>
      <c r="G159" s="482">
        <f>F159*(1+G160)</f>
        <v>227.88000000000002</v>
      </c>
    </row>
    <row r="160" spans="2:7" x14ac:dyDescent="0.45">
      <c r="C160" s="604">
        <v>5.6818181818181213E-3</v>
      </c>
      <c r="D160" s="604">
        <v>5.6497175141242861E-2</v>
      </c>
      <c r="E160" s="604">
        <v>2.1390374331550888E-2</v>
      </c>
      <c r="F160" s="604">
        <v>0.10471204188481686</v>
      </c>
      <c r="G160" s="604">
        <v>0.08</v>
      </c>
    </row>
    <row r="171" spans="2:13" ht="18" x14ac:dyDescent="0.55000000000000004">
      <c r="B171" s="364" t="s">
        <v>1423</v>
      </c>
      <c r="C171" s="364"/>
      <c r="D171" s="364"/>
      <c r="E171" s="364"/>
      <c r="F171" s="364"/>
      <c r="G171" s="364"/>
      <c r="H171" s="364"/>
      <c r="I171" s="364"/>
      <c r="J171" s="364"/>
      <c r="K171" s="364"/>
      <c r="L171" s="364"/>
      <c r="M171" s="364"/>
    </row>
    <row r="174" spans="2:13" x14ac:dyDescent="0.45">
      <c r="B174" s="384" t="s">
        <v>1419</v>
      </c>
      <c r="D174" s="384" t="s">
        <v>117</v>
      </c>
      <c r="E174" s="384" t="s">
        <v>1427</v>
      </c>
      <c r="F174" s="384" t="s">
        <v>1428</v>
      </c>
      <c r="G174" s="384" t="s">
        <v>1429</v>
      </c>
      <c r="H174" s="384" t="s">
        <v>1430</v>
      </c>
      <c r="I174" s="384" t="s">
        <v>1431</v>
      </c>
      <c r="J174" s="384" t="s">
        <v>1432</v>
      </c>
    </row>
    <row r="176" spans="2:13" x14ac:dyDescent="0.45">
      <c r="B176" s="64" t="s">
        <v>1424</v>
      </c>
      <c r="D176" s="384">
        <v>227.88000000000002</v>
      </c>
      <c r="E176" s="384">
        <v>247.24980000000002</v>
      </c>
      <c r="F176" s="384">
        <v>269.50228200000004</v>
      </c>
      <c r="G176" s="384">
        <v>295.10499879000002</v>
      </c>
      <c r="H176" s="384">
        <v>324.61549866900003</v>
      </c>
      <c r="I176" s="384">
        <v>358.70012602924504</v>
      </c>
      <c r="J176" s="384">
        <v>398.15713989246206</v>
      </c>
    </row>
    <row r="177" spans="2:10" x14ac:dyDescent="0.45">
      <c r="B177" s="64"/>
    </row>
    <row r="178" spans="2:10" x14ac:dyDescent="0.45">
      <c r="B178" s="384" t="s">
        <v>1425</v>
      </c>
      <c r="D178" s="384">
        <v>4584.6899999999996</v>
      </c>
      <c r="E178" s="384">
        <v>4584.6899999999996</v>
      </c>
      <c r="F178" s="384">
        <v>4630.5369000000001</v>
      </c>
      <c r="G178" s="384">
        <v>4723.1476380000004</v>
      </c>
      <c r="H178" s="384">
        <v>4817.6105907600004</v>
      </c>
      <c r="I178" s="384">
        <v>4962.1389084828006</v>
      </c>
      <c r="J178" s="384">
        <v>5160.6244648221127</v>
      </c>
    </row>
    <row r="179" spans="2:10" x14ac:dyDescent="0.45">
      <c r="B179" s="384" t="s">
        <v>1418</v>
      </c>
      <c r="D179" s="605">
        <v>0.99</v>
      </c>
      <c r="E179" s="605">
        <v>1</v>
      </c>
      <c r="F179" s="605">
        <v>1.01</v>
      </c>
      <c r="G179" s="605">
        <v>1.02</v>
      </c>
      <c r="H179" s="605">
        <v>1.02</v>
      </c>
      <c r="I179" s="605">
        <v>1.03</v>
      </c>
      <c r="J179" s="605">
        <v>1.04</v>
      </c>
    </row>
    <row r="181" spans="2:10" x14ac:dyDescent="0.45">
      <c r="B181" s="384" t="s">
        <v>1426</v>
      </c>
      <c r="D181" s="593">
        <v>1050035.7186</v>
      </c>
      <c r="E181" s="593">
        <v>1133563.6855619999</v>
      </c>
      <c r="F181" s="593">
        <v>1241762.3393488929</v>
      </c>
      <c r="G181" s="593">
        <v>1380159.5321342661</v>
      </c>
      <c r="H181" s="593">
        <v>1548538.9950546466</v>
      </c>
      <c r="I181" s="593">
        <v>1753998.6889564192</v>
      </c>
      <c r="J181" s="593">
        <v>2015225.2562616277</v>
      </c>
    </row>
    <row r="182" spans="2:10" x14ac:dyDescent="0.45">
      <c r="B182" s="594" t="s">
        <v>1433</v>
      </c>
      <c r="D182" s="384">
        <f>D181/1000</f>
        <v>1050.0357186000001</v>
      </c>
      <c r="E182" s="384">
        <f t="shared" ref="E182:J182" si="12">E181/1000</f>
        <v>1133.5636855619998</v>
      </c>
      <c r="F182" s="384">
        <f t="shared" si="12"/>
        <v>1241.762339348893</v>
      </c>
      <c r="G182" s="384">
        <f t="shared" si="12"/>
        <v>1380.1595321342661</v>
      </c>
      <c r="H182" s="384">
        <f t="shared" si="12"/>
        <v>1548.5389950546466</v>
      </c>
      <c r="I182" s="384">
        <f t="shared" si="12"/>
        <v>1753.9986889564193</v>
      </c>
      <c r="J182" s="384">
        <f t="shared" si="12"/>
        <v>2015.2252562616277</v>
      </c>
    </row>
    <row r="184" spans="2:10" x14ac:dyDescent="0.45">
      <c r="B184" s="384" t="s">
        <v>138</v>
      </c>
      <c r="D184" s="542">
        <v>0.45</v>
      </c>
      <c r="E184" s="542">
        <v>0.43333333333333335</v>
      </c>
      <c r="F184" s="542">
        <v>0.41666666666666669</v>
      </c>
      <c r="G184" s="542">
        <v>0.4</v>
      </c>
      <c r="H184" s="542">
        <v>0.38333333333333336</v>
      </c>
      <c r="I184" s="542">
        <v>0.3666666666666667</v>
      </c>
      <c r="J184" s="542">
        <v>0.35</v>
      </c>
    </row>
  </sheetData>
  <mergeCells count="7">
    <mergeCell ref="E42:I42"/>
    <mergeCell ref="J21:L21"/>
    <mergeCell ref="B3:C3"/>
    <mergeCell ref="F20:H20"/>
    <mergeCell ref="B21:D21"/>
    <mergeCell ref="B20:D20"/>
    <mergeCell ref="F21:H21"/>
  </mergeCell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B89F5D-407A-4437-BB13-0C790F3C6E90}">
  <dimension ref="A1:N41"/>
  <sheetViews>
    <sheetView showGridLines="0" zoomScale="86" workbookViewId="0">
      <selection activeCell="B2" sqref="B2:N2"/>
    </sheetView>
  </sheetViews>
  <sheetFormatPr defaultColWidth="15.33203125" defaultRowHeight="14.25" x14ac:dyDescent="0.45"/>
  <cols>
    <col min="1" max="1" width="4.33203125" style="3" customWidth="1"/>
    <col min="2" max="2" width="37.33203125" style="3" bestFit="1" customWidth="1"/>
    <col min="3" max="8" width="15.33203125" style="3"/>
    <col min="9" max="9" width="28.33203125" style="3" bestFit="1" customWidth="1"/>
    <col min="10" max="16384" width="15.33203125" style="3"/>
  </cols>
  <sheetData>
    <row r="1" spans="1:14" x14ac:dyDescent="0.45">
      <c r="A1" s="35"/>
      <c r="B1" s="35"/>
      <c r="C1" s="35"/>
      <c r="D1" s="35"/>
    </row>
    <row r="2" spans="1:14" ht="18" x14ac:dyDescent="0.55000000000000004">
      <c r="A2" s="40"/>
      <c r="B2" s="635" t="s">
        <v>725</v>
      </c>
      <c r="C2" s="635"/>
      <c r="D2" s="635"/>
      <c r="E2" s="635"/>
      <c r="F2" s="635"/>
      <c r="G2" s="635"/>
      <c r="H2" s="635"/>
      <c r="I2" s="635"/>
      <c r="J2" s="635"/>
      <c r="K2" s="635"/>
      <c r="L2" s="635"/>
      <c r="M2" s="635"/>
      <c r="N2" s="635"/>
    </row>
    <row r="3" spans="1:14" x14ac:dyDescent="0.45">
      <c r="A3" s="25"/>
      <c r="B3" s="25" t="s">
        <v>726</v>
      </c>
    </row>
    <row r="5" spans="1:14" x14ac:dyDescent="0.45">
      <c r="A5" s="25"/>
      <c r="B5" s="25" t="s">
        <v>727</v>
      </c>
      <c r="C5" s="7"/>
    </row>
    <row r="6" spans="1:14" x14ac:dyDescent="0.45">
      <c r="A6" s="25"/>
      <c r="B6" s="25" t="s">
        <v>728</v>
      </c>
      <c r="C6" s="7"/>
    </row>
    <row r="7" spans="1:14" x14ac:dyDescent="0.45">
      <c r="A7" s="25"/>
      <c r="B7" s="25" t="s">
        <v>729</v>
      </c>
      <c r="C7" s="7"/>
    </row>
    <row r="8" spans="1:14" x14ac:dyDescent="0.45">
      <c r="A8" s="25"/>
      <c r="B8" s="25" t="s">
        <v>730</v>
      </c>
      <c r="C8" s="7"/>
    </row>
    <row r="9" spans="1:14" x14ac:dyDescent="0.45">
      <c r="A9" s="25"/>
      <c r="B9" s="25" t="s">
        <v>731</v>
      </c>
      <c r="C9" s="7"/>
    </row>
    <row r="10" spans="1:14" x14ac:dyDescent="0.45">
      <c r="A10" s="25"/>
      <c r="B10" s="25"/>
    </row>
    <row r="11" spans="1:14" x14ac:dyDescent="0.45">
      <c r="A11" s="7"/>
      <c r="B11" s="620"/>
      <c r="C11" s="620"/>
      <c r="D11" s="620"/>
      <c r="E11" s="620"/>
      <c r="F11" s="620"/>
      <c r="G11" s="620"/>
    </row>
    <row r="12" spans="1:14" ht="28.5" x14ac:dyDescent="0.45">
      <c r="A12" s="41"/>
      <c r="B12" s="50" t="s">
        <v>732</v>
      </c>
      <c r="C12" s="51" t="s">
        <v>733</v>
      </c>
      <c r="D12" s="51" t="s">
        <v>734</v>
      </c>
      <c r="E12" s="51" t="s">
        <v>735</v>
      </c>
      <c r="F12" s="51" t="s">
        <v>736</v>
      </c>
      <c r="G12" s="51" t="s">
        <v>737</v>
      </c>
      <c r="I12" s="50" t="s">
        <v>732</v>
      </c>
      <c r="J12" s="51" t="s">
        <v>738</v>
      </c>
      <c r="K12" s="51" t="s">
        <v>739</v>
      </c>
    </row>
    <row r="13" spans="1:14" x14ac:dyDescent="0.45">
      <c r="A13" s="25"/>
      <c r="B13" s="25" t="s">
        <v>740</v>
      </c>
      <c r="C13" s="52">
        <v>43830</v>
      </c>
      <c r="D13" s="52">
        <v>44196</v>
      </c>
      <c r="E13" s="52">
        <v>44561</v>
      </c>
      <c r="F13" s="52">
        <v>44926</v>
      </c>
      <c r="G13" s="52">
        <v>45291</v>
      </c>
      <c r="H13" s="52"/>
      <c r="I13" s="66" t="s">
        <v>740</v>
      </c>
      <c r="J13" s="67">
        <v>45382</v>
      </c>
      <c r="K13" s="67">
        <v>45473</v>
      </c>
    </row>
    <row r="14" spans="1:14" x14ac:dyDescent="0.45">
      <c r="A14" s="25"/>
      <c r="B14" s="25" t="s">
        <v>741</v>
      </c>
      <c r="C14" s="53" t="s">
        <v>742</v>
      </c>
      <c r="D14" s="53" t="s">
        <v>742</v>
      </c>
      <c r="E14" s="53" t="s">
        <v>742</v>
      </c>
      <c r="F14" s="53" t="s">
        <v>742</v>
      </c>
      <c r="G14" s="53" t="s">
        <v>742</v>
      </c>
      <c r="H14" s="53"/>
      <c r="I14" s="66" t="s">
        <v>741</v>
      </c>
      <c r="J14" s="68" t="s">
        <v>742</v>
      </c>
      <c r="K14" s="68" t="s">
        <v>742</v>
      </c>
    </row>
    <row r="15" spans="1:14" x14ac:dyDescent="0.45">
      <c r="A15" s="25"/>
      <c r="B15" s="25" t="s">
        <v>123</v>
      </c>
      <c r="C15" s="53" t="s">
        <v>743</v>
      </c>
      <c r="D15" s="53" t="s">
        <v>743</v>
      </c>
      <c r="E15" s="53" t="s">
        <v>743</v>
      </c>
      <c r="F15" s="53" t="s">
        <v>743</v>
      </c>
      <c r="G15" s="53" t="s">
        <v>743</v>
      </c>
      <c r="H15" s="53"/>
      <c r="I15" s="66" t="s">
        <v>123</v>
      </c>
      <c r="J15" s="68" t="s">
        <v>743</v>
      </c>
      <c r="K15" s="68" t="s">
        <v>743</v>
      </c>
    </row>
    <row r="16" spans="1:14" x14ac:dyDescent="0.45">
      <c r="A16" s="30"/>
      <c r="B16" s="30" t="s">
        <v>744</v>
      </c>
      <c r="C16" s="25"/>
      <c r="D16" s="25"/>
      <c r="E16" s="25"/>
      <c r="F16" s="25"/>
      <c r="G16" s="25"/>
      <c r="H16" s="25"/>
      <c r="I16" s="69" t="s">
        <v>744</v>
      </c>
      <c r="J16" s="66"/>
      <c r="K16" s="66"/>
    </row>
    <row r="17" spans="1:11" x14ac:dyDescent="0.45">
      <c r="A17" s="25"/>
      <c r="B17" s="25" t="s">
        <v>744</v>
      </c>
      <c r="C17" s="54">
        <v>484751</v>
      </c>
      <c r="D17" s="54">
        <v>621149</v>
      </c>
      <c r="E17" s="54">
        <v>784038</v>
      </c>
      <c r="F17" s="54">
        <v>866972</v>
      </c>
      <c r="G17" s="54">
        <v>1012336</v>
      </c>
      <c r="H17" s="54"/>
      <c r="I17" s="66" t="s">
        <v>744</v>
      </c>
      <c r="J17" s="70">
        <v>281148</v>
      </c>
      <c r="K17" s="70">
        <v>296769</v>
      </c>
    </row>
    <row r="18" spans="1:11" x14ac:dyDescent="0.45">
      <c r="A18" s="30"/>
      <c r="B18" s="30" t="s">
        <v>745</v>
      </c>
      <c r="C18" s="25"/>
      <c r="D18" s="25"/>
      <c r="E18" s="25"/>
      <c r="F18" s="25"/>
      <c r="G18" s="25"/>
      <c r="H18" s="25"/>
      <c r="I18" s="69" t="s">
        <v>745</v>
      </c>
      <c r="J18" s="66"/>
      <c r="K18" s="66"/>
    </row>
    <row r="19" spans="1:11" x14ac:dyDescent="0.45">
      <c r="A19" s="25"/>
      <c r="B19" s="25" t="s">
        <v>746</v>
      </c>
      <c r="C19" s="54">
        <v>-81910</v>
      </c>
      <c r="D19" s="54">
        <v>-98337</v>
      </c>
      <c r="E19" s="54">
        <v>-126631</v>
      </c>
      <c r="F19" s="54">
        <v>-152655</v>
      </c>
      <c r="G19" s="54">
        <v>-207520</v>
      </c>
      <c r="H19" s="54"/>
      <c r="I19" s="66" t="s">
        <v>746</v>
      </c>
      <c r="J19" s="70">
        <v>-80774</v>
      </c>
      <c r="K19" s="70">
        <v>-82939</v>
      </c>
    </row>
    <row r="20" spans="1:11" x14ac:dyDescent="0.45">
      <c r="A20" s="25"/>
      <c r="B20" s="25" t="s">
        <v>747</v>
      </c>
      <c r="C20" s="54">
        <v>-184278</v>
      </c>
      <c r="D20" s="54">
        <v>-260039</v>
      </c>
      <c r="E20" s="54">
        <v>-339965</v>
      </c>
      <c r="F20" s="54">
        <v>-322051</v>
      </c>
      <c r="G20" s="54">
        <v>-349574</v>
      </c>
      <c r="H20" s="54"/>
      <c r="I20" s="66" t="s">
        <v>747</v>
      </c>
      <c r="J20" s="70">
        <v>-117533</v>
      </c>
      <c r="K20" s="70">
        <v>-88282</v>
      </c>
    </row>
    <row r="21" spans="1:11" x14ac:dyDescent="0.45">
      <c r="A21" s="25"/>
      <c r="B21" s="25" t="s">
        <v>748</v>
      </c>
      <c r="C21" s="54">
        <v>-49578</v>
      </c>
      <c r="D21" s="54">
        <v>-54647</v>
      </c>
      <c r="E21" s="54">
        <v>-367945</v>
      </c>
      <c r="F21" s="54">
        <v>-151620</v>
      </c>
      <c r="G21" s="54">
        <v>-129326</v>
      </c>
      <c r="H21" s="54"/>
      <c r="I21" s="66" t="s">
        <v>748</v>
      </c>
      <c r="J21" s="70">
        <v>-30823</v>
      </c>
      <c r="K21" s="70">
        <v>-38873</v>
      </c>
    </row>
    <row r="22" spans="1:11" x14ac:dyDescent="0.45">
      <c r="A22" s="25"/>
      <c r="B22" s="25" t="s">
        <v>181</v>
      </c>
      <c r="C22" s="54">
        <v>-107645</v>
      </c>
      <c r="D22" s="54">
        <v>-167906</v>
      </c>
      <c r="E22" s="54">
        <v>-190371</v>
      </c>
      <c r="F22" s="54">
        <v>-227297</v>
      </c>
      <c r="G22" s="54">
        <v>-242188</v>
      </c>
      <c r="H22" s="54"/>
      <c r="I22" s="66" t="s">
        <v>181</v>
      </c>
      <c r="J22" s="70">
        <v>-66846</v>
      </c>
      <c r="K22" s="70">
        <v>-69805</v>
      </c>
    </row>
    <row r="23" spans="1:11" x14ac:dyDescent="0.45">
      <c r="A23" s="25"/>
      <c r="B23" s="25" t="s">
        <v>183</v>
      </c>
      <c r="C23" s="53">
        <v>0</v>
      </c>
      <c r="D23" s="53">
        <v>0</v>
      </c>
      <c r="E23" s="53">
        <v>0</v>
      </c>
      <c r="F23" s="54">
        <v>-225163</v>
      </c>
      <c r="G23" s="53">
        <v>0</v>
      </c>
      <c r="H23" s="53"/>
      <c r="I23" s="66" t="s">
        <v>186</v>
      </c>
      <c r="J23" s="70">
        <v>-10381</v>
      </c>
      <c r="K23" s="70">
        <v>-10157</v>
      </c>
    </row>
    <row r="24" spans="1:11" x14ac:dyDescent="0.45">
      <c r="A24" s="25"/>
      <c r="B24" s="25" t="s">
        <v>186</v>
      </c>
      <c r="C24" s="54">
        <v>-1080</v>
      </c>
      <c r="D24" s="54">
        <v>-10043</v>
      </c>
      <c r="E24" s="54">
        <v>-11081</v>
      </c>
      <c r="F24" s="54">
        <v>-18207</v>
      </c>
      <c r="G24" s="54">
        <v>-36768</v>
      </c>
      <c r="H24" s="54"/>
      <c r="I24" s="66" t="s">
        <v>749</v>
      </c>
      <c r="J24" s="70">
        <v>4577</v>
      </c>
      <c r="K24" s="70">
        <v>4454</v>
      </c>
    </row>
    <row r="25" spans="1:11" x14ac:dyDescent="0.45">
      <c r="A25" s="25"/>
      <c r="B25" s="25" t="s">
        <v>140</v>
      </c>
      <c r="C25" s="54">
        <v>3815</v>
      </c>
      <c r="D25" s="54">
        <v>-7678</v>
      </c>
      <c r="E25" s="54">
        <v>6631</v>
      </c>
      <c r="F25" s="54">
        <v>5030</v>
      </c>
      <c r="G25" s="54">
        <v>3362</v>
      </c>
      <c r="H25" s="54"/>
      <c r="I25" s="66" t="s">
        <v>750</v>
      </c>
      <c r="J25" s="70">
        <v>-20632</v>
      </c>
      <c r="K25" s="70">
        <v>11167</v>
      </c>
    </row>
    <row r="26" spans="1:11" x14ac:dyDescent="0.45">
      <c r="A26" s="25"/>
      <c r="B26" s="25" t="s">
        <v>750</v>
      </c>
      <c r="C26" s="54">
        <v>64075</v>
      </c>
      <c r="D26" s="54">
        <v>22499</v>
      </c>
      <c r="E26" s="54">
        <v>-245324</v>
      </c>
      <c r="F26" s="54">
        <v>-224991</v>
      </c>
      <c r="G26" s="54">
        <v>50322</v>
      </c>
      <c r="H26" s="54"/>
      <c r="I26" s="69" t="s">
        <v>751</v>
      </c>
      <c r="J26" s="66"/>
      <c r="K26" s="66"/>
    </row>
    <row r="27" spans="1:11" x14ac:dyDescent="0.45">
      <c r="A27" s="30"/>
      <c r="B27" s="30" t="s">
        <v>751</v>
      </c>
      <c r="C27" s="25"/>
      <c r="D27" s="25"/>
      <c r="E27" s="25"/>
      <c r="F27" s="25"/>
      <c r="G27" s="25"/>
      <c r="H27" s="25"/>
      <c r="I27" s="66" t="s">
        <v>142</v>
      </c>
      <c r="J27" s="70">
        <v>20776</v>
      </c>
      <c r="K27" s="70">
        <v>-5034</v>
      </c>
    </row>
    <row r="28" spans="1:11" x14ac:dyDescent="0.45">
      <c r="A28" s="25"/>
      <c r="B28" s="25" t="s">
        <v>142</v>
      </c>
      <c r="C28" s="54">
        <v>-5923</v>
      </c>
      <c r="D28" s="54">
        <v>8089</v>
      </c>
      <c r="E28" s="54">
        <v>-3825</v>
      </c>
      <c r="F28" s="54">
        <v>-27230</v>
      </c>
      <c r="G28" s="54">
        <v>-57403</v>
      </c>
      <c r="H28" s="54"/>
      <c r="I28" s="66" t="s">
        <v>752</v>
      </c>
      <c r="J28" s="70">
        <v>144</v>
      </c>
      <c r="K28" s="70">
        <v>6133</v>
      </c>
    </row>
    <row r="29" spans="1:11" x14ac:dyDescent="0.45">
      <c r="A29" s="25"/>
      <c r="B29" s="25" t="s">
        <v>752</v>
      </c>
      <c r="C29" s="54">
        <v>58152</v>
      </c>
      <c r="D29" s="54">
        <v>30588</v>
      </c>
      <c r="E29" s="54">
        <v>-249149</v>
      </c>
      <c r="F29" s="54">
        <v>-252221</v>
      </c>
      <c r="G29" s="54">
        <v>-7081</v>
      </c>
      <c r="H29" s="54"/>
      <c r="I29" s="69" t="s">
        <v>753</v>
      </c>
      <c r="J29" s="66"/>
      <c r="K29" s="66"/>
    </row>
    <row r="30" spans="1:11" x14ac:dyDescent="0.45">
      <c r="A30" s="30"/>
      <c r="B30" s="30" t="s">
        <v>754</v>
      </c>
      <c r="C30" s="25"/>
      <c r="D30" s="25"/>
      <c r="E30" s="25"/>
      <c r="F30" s="25"/>
      <c r="G30" s="25"/>
      <c r="H30" s="25"/>
      <c r="I30" s="66" t="s">
        <v>755</v>
      </c>
      <c r="J30" s="70">
        <v>200374</v>
      </c>
      <c r="K30" s="70">
        <v>213830</v>
      </c>
    </row>
    <row r="31" spans="1:11" x14ac:dyDescent="0.45">
      <c r="A31" s="25"/>
      <c r="B31" s="25" t="s">
        <v>756</v>
      </c>
      <c r="C31" s="53">
        <v>0</v>
      </c>
      <c r="D31" s="54">
        <v>-278454</v>
      </c>
      <c r="E31" s="53">
        <v>0</v>
      </c>
      <c r="F31" s="53">
        <v>0</v>
      </c>
      <c r="G31" s="53">
        <v>0</v>
      </c>
      <c r="H31" s="53"/>
      <c r="I31" s="66" t="s">
        <v>757</v>
      </c>
      <c r="J31" s="70">
        <v>-14828</v>
      </c>
      <c r="K31" s="70">
        <v>16870</v>
      </c>
    </row>
    <row r="32" spans="1:11" x14ac:dyDescent="0.45">
      <c r="A32" s="25"/>
      <c r="B32" s="25" t="s">
        <v>758</v>
      </c>
      <c r="C32" s="54">
        <v>-311610</v>
      </c>
      <c r="D32" s="54">
        <v>-4844</v>
      </c>
      <c r="E32" s="54">
        <v>-969</v>
      </c>
      <c r="F32" s="53">
        <v>0</v>
      </c>
      <c r="G32" s="53">
        <v>0</v>
      </c>
      <c r="H32" s="53"/>
      <c r="I32" s="66" t="s">
        <v>759</v>
      </c>
      <c r="J32" s="68" t="s">
        <v>510</v>
      </c>
      <c r="K32" s="70">
        <v>0.04</v>
      </c>
    </row>
    <row r="33" spans="1:11" x14ac:dyDescent="0.45">
      <c r="A33" s="25"/>
      <c r="B33" s="25" t="s">
        <v>758</v>
      </c>
      <c r="C33" s="54">
        <v>-5340</v>
      </c>
      <c r="D33" s="53">
        <v>0</v>
      </c>
      <c r="E33" s="53">
        <v>0</v>
      </c>
      <c r="F33" s="53">
        <v>0</v>
      </c>
      <c r="G33" s="53">
        <v>0</v>
      </c>
      <c r="H33" s="53"/>
      <c r="I33" s="66" t="s">
        <v>760</v>
      </c>
      <c r="J33" s="68" t="s">
        <v>510</v>
      </c>
      <c r="K33" s="70">
        <v>0.04</v>
      </c>
    </row>
    <row r="34" spans="1:11" x14ac:dyDescent="0.45">
      <c r="A34" s="25"/>
      <c r="B34" s="25" t="s">
        <v>761</v>
      </c>
      <c r="C34" s="54">
        <v>-258798</v>
      </c>
      <c r="D34" s="54">
        <v>-252710</v>
      </c>
      <c r="E34" s="54">
        <v>-250118</v>
      </c>
      <c r="F34" s="54">
        <v>-252221</v>
      </c>
      <c r="G34" s="54">
        <v>-7081</v>
      </c>
      <c r="H34" s="54"/>
    </row>
    <row r="35" spans="1:11" x14ac:dyDescent="0.45">
      <c r="A35" s="30"/>
      <c r="B35" s="30" t="s">
        <v>753</v>
      </c>
      <c r="C35" s="25"/>
      <c r="D35" s="25"/>
      <c r="E35" s="25"/>
      <c r="F35" s="25"/>
      <c r="G35" s="25"/>
      <c r="H35" s="25"/>
    </row>
    <row r="36" spans="1:11" x14ac:dyDescent="0.45">
      <c r="A36" s="25"/>
      <c r="B36" s="25" t="s">
        <v>755</v>
      </c>
      <c r="C36" s="54">
        <v>402841</v>
      </c>
      <c r="D36" s="54">
        <v>522812</v>
      </c>
      <c r="E36" s="54">
        <v>657407</v>
      </c>
      <c r="F36" s="54">
        <v>714317</v>
      </c>
      <c r="G36" s="54">
        <v>804816</v>
      </c>
      <c r="H36" s="54"/>
    </row>
    <row r="37" spans="1:11" x14ac:dyDescent="0.45">
      <c r="A37" s="25"/>
      <c r="B37" s="25" t="s">
        <v>757</v>
      </c>
      <c r="C37" s="54">
        <v>61340</v>
      </c>
      <c r="D37" s="54">
        <v>40220</v>
      </c>
      <c r="E37" s="54">
        <v>-240874</v>
      </c>
      <c r="F37" s="54">
        <v>-211814</v>
      </c>
      <c r="G37" s="54">
        <v>83728</v>
      </c>
      <c r="H37" s="54"/>
    </row>
    <row r="38" spans="1:11" x14ac:dyDescent="0.45">
      <c r="A38" s="25"/>
      <c r="B38" s="25" t="s">
        <v>759</v>
      </c>
      <c r="C38" s="54">
        <v>-14.91</v>
      </c>
      <c r="D38" s="54">
        <v>-14.1</v>
      </c>
      <c r="E38" s="54">
        <v>-2.6</v>
      </c>
      <c r="F38" s="54">
        <v>-1.82</v>
      </c>
      <c r="G38" s="54">
        <v>-0.05</v>
      </c>
      <c r="H38" s="54"/>
    </row>
    <row r="39" spans="1:11" x14ac:dyDescent="0.45">
      <c r="A39" s="25"/>
      <c r="B39" s="25"/>
    </row>
    <row r="40" spans="1:11" x14ac:dyDescent="0.45">
      <c r="A40" s="7"/>
      <c r="B40" s="7"/>
    </row>
    <row r="41" spans="1:11" x14ac:dyDescent="0.45">
      <c r="A41" s="7"/>
      <c r="B41" s="620" t="s">
        <v>762</v>
      </c>
      <c r="C41" s="620"/>
      <c r="D41" s="620"/>
      <c r="E41" s="620"/>
      <c r="F41" s="620"/>
      <c r="G41" s="620"/>
      <c r="H41" s="7"/>
    </row>
  </sheetData>
  <mergeCells count="3">
    <mergeCell ref="B2:N2"/>
    <mergeCell ref="B11:G11"/>
    <mergeCell ref="B41:G41"/>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4414A1-28C7-42A3-9FA4-E7C4A45EDF9D}">
  <dimension ref="B2:M62"/>
  <sheetViews>
    <sheetView showGridLines="0" topLeftCell="B1" zoomScale="87" workbookViewId="0">
      <selection activeCell="B3" sqref="B3:M3"/>
    </sheetView>
  </sheetViews>
  <sheetFormatPr defaultColWidth="15.33203125" defaultRowHeight="14.25" x14ac:dyDescent="0.45"/>
  <cols>
    <col min="1" max="1" width="4.33203125" style="3" customWidth="1"/>
    <col min="2" max="2" width="44.33203125" style="3" bestFit="1" customWidth="1"/>
    <col min="3" max="8" width="15.33203125" style="3"/>
    <col min="9" max="9" width="40.33203125" style="3" bestFit="1" customWidth="1"/>
    <col min="10" max="16384" width="15.33203125" style="3"/>
  </cols>
  <sheetData>
    <row r="2" spans="2:13" x14ac:dyDescent="0.45">
      <c r="B2" s="636"/>
      <c r="C2" s="636"/>
      <c r="D2" s="636"/>
      <c r="E2" s="636"/>
      <c r="F2" s="42"/>
      <c r="G2" s="42"/>
      <c r="H2" s="42"/>
      <c r="I2" s="42"/>
      <c r="J2" s="42"/>
      <c r="K2" s="42"/>
      <c r="L2" s="42"/>
      <c r="M2" s="42"/>
    </row>
    <row r="3" spans="2:13" ht="18" x14ac:dyDescent="0.55000000000000004">
      <c r="B3" s="635" t="s">
        <v>763</v>
      </c>
      <c r="C3" s="635"/>
      <c r="D3" s="635"/>
      <c r="E3" s="635"/>
      <c r="F3" s="635"/>
      <c r="G3" s="635"/>
      <c r="H3" s="635"/>
      <c r="I3" s="635"/>
      <c r="J3" s="635"/>
      <c r="K3" s="635"/>
      <c r="L3" s="635"/>
      <c r="M3" s="635"/>
    </row>
    <row r="4" spans="2:13" x14ac:dyDescent="0.45">
      <c r="B4" s="43" t="s">
        <v>726</v>
      </c>
      <c r="C4" s="42"/>
      <c r="D4" s="42"/>
      <c r="E4" s="42"/>
      <c r="F4" s="42"/>
      <c r="G4" s="42"/>
      <c r="H4" s="42"/>
      <c r="I4" s="42"/>
      <c r="J4" s="42"/>
      <c r="K4" s="42"/>
      <c r="L4" s="42"/>
      <c r="M4" s="42"/>
    </row>
    <row r="5" spans="2:13" x14ac:dyDescent="0.45">
      <c r="B5" s="42"/>
      <c r="C5" s="42"/>
      <c r="D5" s="42"/>
      <c r="E5" s="42"/>
      <c r="F5" s="42"/>
      <c r="G5" s="42"/>
      <c r="H5" s="42"/>
      <c r="I5" s="42"/>
      <c r="J5" s="42"/>
      <c r="K5" s="42"/>
      <c r="L5" s="42"/>
      <c r="M5" s="42"/>
    </row>
    <row r="6" spans="2:13" x14ac:dyDescent="0.45">
      <c r="B6" s="43" t="s">
        <v>727</v>
      </c>
      <c r="C6" s="44"/>
      <c r="D6" s="42"/>
      <c r="E6" s="42"/>
      <c r="F6" s="42"/>
      <c r="G6" s="42"/>
      <c r="H6" s="42"/>
      <c r="I6" s="42"/>
      <c r="J6" s="42"/>
      <c r="K6" s="42"/>
      <c r="L6" s="42"/>
      <c r="M6" s="42"/>
    </row>
    <row r="7" spans="2:13" x14ac:dyDescent="0.45">
      <c r="B7" s="43" t="s">
        <v>728</v>
      </c>
      <c r="C7" s="44"/>
      <c r="D7" s="42"/>
      <c r="E7" s="42"/>
      <c r="F7" s="42"/>
      <c r="G7" s="42"/>
      <c r="H7" s="42"/>
      <c r="I7" s="42"/>
      <c r="J7" s="42"/>
      <c r="K7" s="42"/>
      <c r="L7" s="42"/>
      <c r="M7" s="42"/>
    </row>
    <row r="8" spans="2:13" x14ac:dyDescent="0.45">
      <c r="B8" s="43" t="s">
        <v>729</v>
      </c>
      <c r="C8" s="44"/>
      <c r="D8" s="42"/>
      <c r="E8" s="42"/>
      <c r="F8" s="42"/>
      <c r="G8" s="42"/>
      <c r="H8" s="42"/>
      <c r="I8" s="42"/>
      <c r="J8" s="42"/>
      <c r="K8" s="42"/>
      <c r="L8" s="42"/>
      <c r="M8" s="42"/>
    </row>
    <row r="9" spans="2:13" x14ac:dyDescent="0.45">
      <c r="B9" s="43" t="s">
        <v>730</v>
      </c>
      <c r="C9" s="44"/>
      <c r="D9" s="42"/>
      <c r="E9" s="42"/>
      <c r="F9" s="42"/>
      <c r="G9" s="42"/>
      <c r="H9" s="42"/>
      <c r="I9" s="42"/>
      <c r="J9" s="42"/>
      <c r="K9" s="42"/>
      <c r="L9" s="42"/>
      <c r="M9" s="42"/>
    </row>
    <row r="10" spans="2:13" x14ac:dyDescent="0.45">
      <c r="B10" s="43" t="s">
        <v>731</v>
      </c>
      <c r="C10" s="44"/>
      <c r="D10" s="42"/>
      <c r="E10" s="42"/>
      <c r="F10" s="42"/>
      <c r="G10" s="42"/>
      <c r="H10" s="42"/>
      <c r="I10" s="42"/>
      <c r="J10" s="42"/>
      <c r="K10" s="42"/>
      <c r="L10" s="42"/>
      <c r="M10" s="42"/>
    </row>
    <row r="11" spans="2:13" x14ac:dyDescent="0.45">
      <c r="B11" s="43"/>
      <c r="C11" s="42"/>
      <c r="D11" s="42"/>
      <c r="E11" s="42"/>
      <c r="F11" s="42"/>
      <c r="G11" s="42"/>
      <c r="H11" s="42"/>
      <c r="I11" s="42"/>
      <c r="J11" s="42"/>
      <c r="K11" s="42"/>
      <c r="L11" s="42"/>
      <c r="M11" s="42"/>
    </row>
    <row r="12" spans="2:13" x14ac:dyDescent="0.45">
      <c r="B12" s="637"/>
      <c r="C12" s="637"/>
      <c r="D12" s="637"/>
      <c r="E12" s="637"/>
      <c r="F12" s="637"/>
      <c r="G12" s="637"/>
      <c r="H12" s="42"/>
      <c r="I12" s="42"/>
      <c r="J12" s="42"/>
      <c r="K12" s="42"/>
      <c r="L12" s="42"/>
      <c r="M12" s="42"/>
    </row>
    <row r="13" spans="2:13" x14ac:dyDescent="0.45">
      <c r="B13" s="45" t="s">
        <v>732</v>
      </c>
      <c r="C13" s="46" t="s">
        <v>733</v>
      </c>
      <c r="D13" s="46" t="s">
        <v>734</v>
      </c>
      <c r="E13" s="46" t="s">
        <v>735</v>
      </c>
      <c r="F13" s="46" t="s">
        <v>736</v>
      </c>
      <c r="G13" s="46" t="s">
        <v>737</v>
      </c>
      <c r="H13" s="42"/>
      <c r="I13" s="50" t="s">
        <v>732</v>
      </c>
      <c r="J13" s="51" t="s">
        <v>738</v>
      </c>
      <c r="K13" s="51" t="s">
        <v>739</v>
      </c>
      <c r="L13" s="42"/>
      <c r="M13" s="42"/>
    </row>
    <row r="14" spans="2:13" x14ac:dyDescent="0.45">
      <c r="B14" s="43" t="s">
        <v>740</v>
      </c>
      <c r="C14" s="47" t="s">
        <v>764</v>
      </c>
      <c r="D14" s="47" t="s">
        <v>765</v>
      </c>
      <c r="E14" s="47" t="s">
        <v>766</v>
      </c>
      <c r="F14" s="47" t="s">
        <v>767</v>
      </c>
      <c r="G14" s="47" t="s">
        <v>768</v>
      </c>
      <c r="H14" s="42"/>
      <c r="I14" s="66" t="s">
        <v>740</v>
      </c>
      <c r="J14" s="67">
        <v>45382</v>
      </c>
      <c r="K14" s="67">
        <v>45473</v>
      </c>
      <c r="L14" s="42"/>
      <c r="M14" s="42"/>
    </row>
    <row r="15" spans="2:13" x14ac:dyDescent="0.45">
      <c r="B15" s="43" t="s">
        <v>741</v>
      </c>
      <c r="C15" s="47" t="s">
        <v>742</v>
      </c>
      <c r="D15" s="47" t="s">
        <v>742</v>
      </c>
      <c r="E15" s="47" t="s">
        <v>742</v>
      </c>
      <c r="F15" s="47" t="s">
        <v>742</v>
      </c>
      <c r="G15" s="47" t="s">
        <v>742</v>
      </c>
      <c r="H15" s="42"/>
      <c r="I15" s="66" t="s">
        <v>741</v>
      </c>
      <c r="J15" s="68" t="s">
        <v>742</v>
      </c>
      <c r="K15" s="68" t="s">
        <v>742</v>
      </c>
      <c r="L15" s="42"/>
      <c r="M15" s="42"/>
    </row>
    <row r="16" spans="2:13" x14ac:dyDescent="0.45">
      <c r="B16" s="43" t="s">
        <v>123</v>
      </c>
      <c r="C16" s="47" t="s">
        <v>743</v>
      </c>
      <c r="D16" s="47" t="s">
        <v>743</v>
      </c>
      <c r="E16" s="47" t="s">
        <v>743</v>
      </c>
      <c r="F16" s="47" t="s">
        <v>743</v>
      </c>
      <c r="G16" s="47" t="s">
        <v>743</v>
      </c>
      <c r="H16" s="42"/>
      <c r="I16" s="66" t="s">
        <v>123</v>
      </c>
      <c r="J16" s="68" t="s">
        <v>743</v>
      </c>
      <c r="K16" s="68" t="s">
        <v>743</v>
      </c>
      <c r="L16" s="42"/>
      <c r="M16" s="42"/>
    </row>
    <row r="17" spans="2:13" x14ac:dyDescent="0.45">
      <c r="B17" s="48" t="s">
        <v>191</v>
      </c>
      <c r="C17" s="43"/>
      <c r="D17" s="43"/>
      <c r="E17" s="43"/>
      <c r="F17" s="43"/>
      <c r="G17" s="43"/>
      <c r="H17" s="42"/>
      <c r="I17" s="69" t="s">
        <v>191</v>
      </c>
      <c r="J17" s="66"/>
      <c r="K17" s="66"/>
      <c r="L17" s="42"/>
      <c r="M17" s="42"/>
    </row>
    <row r="18" spans="2:13" x14ac:dyDescent="0.45">
      <c r="B18" s="43" t="s">
        <v>192</v>
      </c>
      <c r="C18" s="49">
        <v>43649</v>
      </c>
      <c r="D18" s="49">
        <v>57891</v>
      </c>
      <c r="E18" s="49">
        <v>203247</v>
      </c>
      <c r="F18" s="49">
        <v>197037</v>
      </c>
      <c r="G18" s="49">
        <v>257702</v>
      </c>
      <c r="H18" s="42"/>
      <c r="I18" s="66" t="s">
        <v>192</v>
      </c>
      <c r="J18" s="70">
        <v>241905</v>
      </c>
      <c r="K18" s="70">
        <v>270363</v>
      </c>
      <c r="L18" s="72"/>
      <c r="M18" s="42"/>
    </row>
    <row r="19" spans="2:13" x14ac:dyDescent="0.45">
      <c r="B19" s="43" t="s">
        <v>769</v>
      </c>
      <c r="C19" s="49">
        <v>76784</v>
      </c>
      <c r="D19" s="49">
        <v>37462</v>
      </c>
      <c r="E19" s="49">
        <v>31456</v>
      </c>
      <c r="F19" s="49">
        <v>31757</v>
      </c>
      <c r="G19" s="53">
        <v>0</v>
      </c>
      <c r="H19" s="42"/>
      <c r="I19" s="66" t="s">
        <v>769</v>
      </c>
      <c r="J19" s="70">
        <v>46981</v>
      </c>
      <c r="K19" s="70">
        <v>52041</v>
      </c>
      <c r="L19" s="42"/>
      <c r="M19" s="42"/>
    </row>
    <row r="20" spans="2:13" x14ac:dyDescent="0.45">
      <c r="B20" s="43" t="s">
        <v>193</v>
      </c>
      <c r="C20" s="49">
        <v>4573</v>
      </c>
      <c r="D20" s="49">
        <v>7516</v>
      </c>
      <c r="E20" s="49">
        <v>7969</v>
      </c>
      <c r="F20" s="49">
        <v>10748</v>
      </c>
      <c r="G20" s="49">
        <v>24894</v>
      </c>
      <c r="H20" s="42"/>
      <c r="I20" s="66" t="s">
        <v>193</v>
      </c>
      <c r="J20" s="70">
        <v>30297</v>
      </c>
      <c r="K20" s="70">
        <v>41384</v>
      </c>
      <c r="L20" s="42"/>
      <c r="M20" s="42"/>
    </row>
    <row r="21" spans="2:13" x14ac:dyDescent="0.45">
      <c r="B21" s="43" t="s">
        <v>166</v>
      </c>
      <c r="C21" s="53">
        <v>0</v>
      </c>
      <c r="D21" s="53">
        <v>0</v>
      </c>
      <c r="E21" s="49">
        <v>1828</v>
      </c>
      <c r="F21" s="49">
        <v>4442</v>
      </c>
      <c r="G21" s="49">
        <v>6089</v>
      </c>
      <c r="H21" s="42"/>
      <c r="I21" s="66" t="s">
        <v>166</v>
      </c>
      <c r="J21" s="70">
        <v>5298</v>
      </c>
      <c r="K21" s="53">
        <v>0</v>
      </c>
      <c r="L21" s="42"/>
      <c r="M21" s="42"/>
    </row>
    <row r="22" spans="2:13" x14ac:dyDescent="0.45">
      <c r="B22" s="43" t="s">
        <v>194</v>
      </c>
      <c r="C22" s="49">
        <v>36745</v>
      </c>
      <c r="D22" s="49">
        <v>37384</v>
      </c>
      <c r="E22" s="49">
        <v>67099</v>
      </c>
      <c r="F22" s="49">
        <v>48326</v>
      </c>
      <c r="G22" s="49">
        <v>48947</v>
      </c>
      <c r="H22" s="42"/>
      <c r="I22" s="66" t="s">
        <v>194</v>
      </c>
      <c r="J22" s="70">
        <v>70419</v>
      </c>
      <c r="K22" s="70">
        <v>83016</v>
      </c>
      <c r="L22" s="42"/>
      <c r="M22" s="42"/>
    </row>
    <row r="23" spans="2:13" x14ac:dyDescent="0.45">
      <c r="B23" s="43" t="s">
        <v>195</v>
      </c>
      <c r="C23" s="47">
        <v>0</v>
      </c>
      <c r="D23" s="47">
        <v>0</v>
      </c>
      <c r="E23" s="49">
        <v>30433</v>
      </c>
      <c r="F23" s="49">
        <v>35583</v>
      </c>
      <c r="G23" s="49">
        <v>36583</v>
      </c>
      <c r="H23" s="42"/>
      <c r="I23" s="66" t="s">
        <v>195</v>
      </c>
      <c r="J23" s="70">
        <v>38778</v>
      </c>
      <c r="K23" s="53">
        <v>0</v>
      </c>
      <c r="L23" s="42"/>
      <c r="M23" s="42"/>
    </row>
    <row r="24" spans="2:13" x14ac:dyDescent="0.45">
      <c r="B24" s="43" t="s">
        <v>196</v>
      </c>
      <c r="C24" s="49">
        <v>161751</v>
      </c>
      <c r="D24" s="49">
        <v>140253</v>
      </c>
      <c r="E24" s="49">
        <v>342032</v>
      </c>
      <c r="F24" s="49">
        <v>327893</v>
      </c>
      <c r="G24" s="49">
        <v>374215</v>
      </c>
      <c r="H24" s="42"/>
      <c r="I24" s="66" t="s">
        <v>196</v>
      </c>
      <c r="J24" s="70">
        <v>433678</v>
      </c>
      <c r="K24" s="70">
        <v>446804</v>
      </c>
      <c r="L24" s="42"/>
      <c r="M24" s="42"/>
    </row>
    <row r="25" spans="2:13" x14ac:dyDescent="0.45">
      <c r="B25" s="48" t="s">
        <v>197</v>
      </c>
      <c r="C25" s="43"/>
      <c r="D25" s="43"/>
      <c r="E25" s="43"/>
      <c r="F25" s="43"/>
      <c r="G25" s="43"/>
      <c r="H25" s="42"/>
      <c r="I25" s="69" t="s">
        <v>197</v>
      </c>
      <c r="J25" s="66"/>
      <c r="K25" s="66"/>
      <c r="L25" s="42"/>
      <c r="M25" s="42"/>
    </row>
    <row r="26" spans="2:13" x14ac:dyDescent="0.45">
      <c r="B26" s="43" t="s">
        <v>198</v>
      </c>
      <c r="C26" s="53">
        <v>0</v>
      </c>
      <c r="D26" s="53">
        <v>0</v>
      </c>
      <c r="E26" s="53">
        <v>0</v>
      </c>
      <c r="F26" s="49">
        <v>86824</v>
      </c>
      <c r="G26" s="49">
        <v>77764</v>
      </c>
      <c r="H26" s="42"/>
      <c r="I26" s="66" t="s">
        <v>198</v>
      </c>
      <c r="J26" s="70">
        <v>75325</v>
      </c>
      <c r="K26" s="70">
        <v>61016</v>
      </c>
      <c r="L26" s="42"/>
      <c r="M26" s="42"/>
    </row>
    <row r="27" spans="2:13" x14ac:dyDescent="0.45">
      <c r="B27" s="43" t="s">
        <v>770</v>
      </c>
      <c r="C27" s="49">
        <v>60137</v>
      </c>
      <c r="D27" s="49">
        <v>49249</v>
      </c>
      <c r="E27" s="49">
        <v>52839</v>
      </c>
      <c r="F27" s="49">
        <v>51633</v>
      </c>
      <c r="G27" s="49">
        <v>58211</v>
      </c>
      <c r="H27" s="42"/>
      <c r="I27" s="66" t="s">
        <v>770</v>
      </c>
      <c r="J27" s="70">
        <v>58759</v>
      </c>
      <c r="K27" s="70">
        <v>49609</v>
      </c>
      <c r="L27" s="42"/>
      <c r="M27" s="42"/>
    </row>
    <row r="28" spans="2:13" x14ac:dyDescent="0.45">
      <c r="B28" s="43" t="s">
        <v>200</v>
      </c>
      <c r="C28" s="49">
        <v>2896</v>
      </c>
      <c r="D28" s="49">
        <v>7773</v>
      </c>
      <c r="E28" s="47">
        <v>0</v>
      </c>
      <c r="F28" s="53">
        <v>0</v>
      </c>
      <c r="G28" s="53">
        <v>0</v>
      </c>
      <c r="H28" s="42"/>
      <c r="I28" s="66" t="s">
        <v>201</v>
      </c>
      <c r="J28" s="70">
        <v>210438</v>
      </c>
      <c r="K28" s="70">
        <v>196522</v>
      </c>
      <c r="L28" s="42"/>
      <c r="M28" s="42"/>
    </row>
    <row r="29" spans="2:13" x14ac:dyDescent="0.45">
      <c r="B29" s="43" t="s">
        <v>201</v>
      </c>
      <c r="C29" s="49">
        <v>83171</v>
      </c>
      <c r="D29" s="49">
        <v>83171</v>
      </c>
      <c r="E29" s="49">
        <v>435601</v>
      </c>
      <c r="F29" s="49">
        <v>210438</v>
      </c>
      <c r="G29" s="49">
        <v>210438</v>
      </c>
      <c r="H29" s="42"/>
      <c r="I29" s="66" t="s">
        <v>202</v>
      </c>
      <c r="J29" s="70">
        <v>175225</v>
      </c>
      <c r="K29" s="70">
        <v>140839</v>
      </c>
      <c r="L29" s="42"/>
      <c r="M29" s="42"/>
    </row>
    <row r="30" spans="2:13" x14ac:dyDescent="0.45">
      <c r="B30" s="43" t="s">
        <v>202</v>
      </c>
      <c r="C30" s="49">
        <v>26185</v>
      </c>
      <c r="D30" s="49">
        <v>18868</v>
      </c>
      <c r="E30" s="49">
        <v>60138</v>
      </c>
      <c r="F30" s="49">
        <v>42808</v>
      </c>
      <c r="G30" s="49">
        <v>190103</v>
      </c>
      <c r="H30" s="42"/>
      <c r="I30" s="66" t="s">
        <v>203</v>
      </c>
      <c r="J30" s="70">
        <v>12044</v>
      </c>
      <c r="K30" s="70">
        <v>11560</v>
      </c>
      <c r="L30" s="42"/>
      <c r="M30" s="42"/>
    </row>
    <row r="31" spans="2:13" x14ac:dyDescent="0.45">
      <c r="B31" s="43" t="s">
        <v>203</v>
      </c>
      <c r="C31" s="49">
        <v>2589</v>
      </c>
      <c r="D31" s="49">
        <v>7452</v>
      </c>
      <c r="E31" s="49">
        <v>8939</v>
      </c>
      <c r="F31" s="49">
        <v>10921</v>
      </c>
      <c r="G31" s="49">
        <v>11028</v>
      </c>
      <c r="H31" s="42"/>
      <c r="I31" s="66" t="s">
        <v>771</v>
      </c>
      <c r="J31" s="68">
        <v>0</v>
      </c>
      <c r="K31" s="70">
        <v>94529</v>
      </c>
      <c r="L31" s="42"/>
      <c r="M31" s="42"/>
    </row>
    <row r="32" spans="2:13" x14ac:dyDescent="0.45">
      <c r="B32" s="43" t="s">
        <v>205</v>
      </c>
      <c r="C32" s="49">
        <v>336729</v>
      </c>
      <c r="D32" s="49">
        <v>306766</v>
      </c>
      <c r="E32" s="49">
        <v>899549</v>
      </c>
      <c r="F32" s="49">
        <v>730517</v>
      </c>
      <c r="G32" s="49">
        <v>921759</v>
      </c>
      <c r="H32" s="42"/>
      <c r="I32" s="66" t="s">
        <v>205</v>
      </c>
      <c r="J32" s="70">
        <v>965469</v>
      </c>
      <c r="K32" s="70">
        <v>1000879</v>
      </c>
      <c r="L32" s="42"/>
      <c r="M32" s="42"/>
    </row>
    <row r="33" spans="2:13" x14ac:dyDescent="0.45">
      <c r="B33" s="48" t="s">
        <v>206</v>
      </c>
      <c r="C33" s="43"/>
      <c r="D33" s="43"/>
      <c r="E33" s="43"/>
      <c r="F33" s="43"/>
      <c r="G33" s="43"/>
      <c r="H33" s="42"/>
      <c r="I33" s="69" t="s">
        <v>206</v>
      </c>
      <c r="J33" s="66"/>
      <c r="K33" s="66"/>
      <c r="L33" s="42"/>
      <c r="M33" s="42"/>
    </row>
    <row r="34" spans="2:13" x14ac:dyDescent="0.45">
      <c r="B34" s="43" t="s">
        <v>208</v>
      </c>
      <c r="C34" s="49">
        <v>3204</v>
      </c>
      <c r="D34" s="49">
        <v>16758</v>
      </c>
      <c r="E34" s="49">
        <v>26533</v>
      </c>
      <c r="F34" s="49">
        <v>12987</v>
      </c>
      <c r="G34" s="49">
        <v>12863</v>
      </c>
      <c r="H34" s="42"/>
      <c r="I34" s="66" t="s">
        <v>208</v>
      </c>
      <c r="J34" s="70">
        <v>21386</v>
      </c>
      <c r="K34" s="70">
        <v>21933</v>
      </c>
      <c r="L34" s="42"/>
      <c r="M34" s="42"/>
    </row>
    <row r="35" spans="2:13" x14ac:dyDescent="0.45">
      <c r="B35" s="43" t="s">
        <v>168</v>
      </c>
      <c r="C35" s="49">
        <v>46392</v>
      </c>
      <c r="D35" s="49">
        <v>46779</v>
      </c>
      <c r="E35" s="49">
        <v>60861</v>
      </c>
      <c r="F35" s="49">
        <v>64360</v>
      </c>
      <c r="G35" s="49">
        <v>99435</v>
      </c>
      <c r="H35" s="42"/>
      <c r="I35" s="66" t="s">
        <v>168</v>
      </c>
      <c r="J35" s="70">
        <v>109789</v>
      </c>
      <c r="K35" s="70">
        <v>98933</v>
      </c>
      <c r="L35" s="42"/>
      <c r="M35" s="42"/>
    </row>
    <row r="36" spans="2:13" x14ac:dyDescent="0.45">
      <c r="B36" s="43" t="s">
        <v>209</v>
      </c>
      <c r="C36" s="49">
        <v>8750</v>
      </c>
      <c r="D36" s="49">
        <v>13586</v>
      </c>
      <c r="E36" s="49">
        <v>13586</v>
      </c>
      <c r="F36" s="49">
        <v>40758</v>
      </c>
      <c r="G36" s="49">
        <v>48977</v>
      </c>
      <c r="H36" s="42"/>
      <c r="I36" s="66" t="s">
        <v>209</v>
      </c>
      <c r="J36" s="70">
        <v>53058</v>
      </c>
      <c r="K36" s="70">
        <v>57140</v>
      </c>
      <c r="L36" s="77"/>
      <c r="M36" s="42"/>
    </row>
    <row r="37" spans="2:13" x14ac:dyDescent="0.45">
      <c r="B37" s="43" t="s">
        <v>210</v>
      </c>
      <c r="C37" s="53">
        <v>0</v>
      </c>
      <c r="D37" s="53">
        <v>0</v>
      </c>
      <c r="E37" s="53">
        <v>0</v>
      </c>
      <c r="F37" s="49">
        <v>11514</v>
      </c>
      <c r="G37" s="49">
        <v>12640</v>
      </c>
      <c r="H37" s="42"/>
      <c r="I37" s="66" t="s">
        <v>210</v>
      </c>
      <c r="J37" s="70">
        <v>12819</v>
      </c>
      <c r="K37" s="70">
        <v>11281</v>
      </c>
      <c r="L37" s="42"/>
      <c r="M37" s="42"/>
    </row>
    <row r="38" spans="2:13" x14ac:dyDescent="0.45">
      <c r="B38" s="43" t="s">
        <v>211</v>
      </c>
      <c r="C38" s="49">
        <v>164428</v>
      </c>
      <c r="D38" s="49">
        <v>210392</v>
      </c>
      <c r="E38" s="49">
        <v>233999</v>
      </c>
      <c r="F38" s="49">
        <v>269689</v>
      </c>
      <c r="G38" s="49">
        <v>333191</v>
      </c>
      <c r="H38" s="42"/>
      <c r="I38" s="66" t="s">
        <v>211</v>
      </c>
      <c r="J38" s="70">
        <v>376134</v>
      </c>
      <c r="K38" s="70">
        <v>397923</v>
      </c>
      <c r="L38" s="42"/>
      <c r="M38" s="42"/>
    </row>
    <row r="39" spans="2:13" x14ac:dyDescent="0.45">
      <c r="B39" s="43"/>
      <c r="C39" s="49"/>
      <c r="D39" s="49">
        <f>D38-C38</f>
        <v>45964</v>
      </c>
      <c r="E39" s="49">
        <f>E38-D38</f>
        <v>23607</v>
      </c>
      <c r="F39" s="49">
        <f>F38-E38</f>
        <v>35690</v>
      </c>
      <c r="G39" s="49">
        <f>G38-F38</f>
        <v>63502</v>
      </c>
      <c r="H39" s="42"/>
      <c r="I39" s="66"/>
      <c r="J39" s="70"/>
      <c r="K39" s="70"/>
      <c r="L39" s="42"/>
      <c r="M39" s="42"/>
    </row>
    <row r="40" spans="2:13" x14ac:dyDescent="0.45">
      <c r="B40" s="43" t="s">
        <v>212</v>
      </c>
      <c r="C40" s="47">
        <v>939</v>
      </c>
      <c r="D40" s="53">
        <v>0</v>
      </c>
      <c r="E40" s="53">
        <v>0</v>
      </c>
      <c r="F40" s="53">
        <v>0</v>
      </c>
      <c r="G40" s="53">
        <v>0</v>
      </c>
      <c r="H40" s="42"/>
      <c r="I40" s="66" t="s">
        <v>213</v>
      </c>
      <c r="J40" s="70">
        <v>44076</v>
      </c>
      <c r="K40" s="68">
        <v>0</v>
      </c>
      <c r="L40" s="42"/>
      <c r="M40" s="42"/>
    </row>
    <row r="41" spans="2:13" x14ac:dyDescent="0.45">
      <c r="B41" s="43" t="s">
        <v>213</v>
      </c>
      <c r="C41" s="53">
        <v>0</v>
      </c>
      <c r="D41" s="53">
        <v>0</v>
      </c>
      <c r="E41" s="49">
        <v>30137</v>
      </c>
      <c r="F41" s="49">
        <v>38845</v>
      </c>
      <c r="G41" s="49">
        <v>42672</v>
      </c>
      <c r="H41" s="42"/>
      <c r="I41" s="66" t="s">
        <v>215</v>
      </c>
      <c r="J41" s="70">
        <v>617262</v>
      </c>
      <c r="K41" s="70">
        <v>587210</v>
      </c>
      <c r="L41" s="42"/>
      <c r="M41" s="42"/>
    </row>
    <row r="42" spans="2:13" x14ac:dyDescent="0.45">
      <c r="B42" s="43" t="s">
        <v>214</v>
      </c>
      <c r="C42" s="53">
        <v>0</v>
      </c>
      <c r="D42" s="49">
        <v>1197</v>
      </c>
      <c r="E42" s="49">
        <v>2095</v>
      </c>
      <c r="F42" s="53">
        <v>0</v>
      </c>
      <c r="G42" s="53">
        <v>0</v>
      </c>
      <c r="H42" s="42"/>
      <c r="I42" s="69" t="s">
        <v>216</v>
      </c>
      <c r="J42" s="66"/>
      <c r="K42" s="66"/>
      <c r="L42" s="42"/>
      <c r="M42" s="42"/>
    </row>
    <row r="43" spans="2:13" x14ac:dyDescent="0.45">
      <c r="B43" s="43" t="s">
        <v>215</v>
      </c>
      <c r="C43" s="49">
        <v>223713</v>
      </c>
      <c r="D43" s="49">
        <v>288712</v>
      </c>
      <c r="E43" s="49">
        <v>367211</v>
      </c>
      <c r="F43" s="49">
        <v>438153</v>
      </c>
      <c r="G43" s="49">
        <v>549778</v>
      </c>
      <c r="H43" s="42"/>
      <c r="I43" s="66" t="s">
        <v>772</v>
      </c>
      <c r="J43" s="70">
        <v>503833</v>
      </c>
      <c r="K43" s="70">
        <v>487846</v>
      </c>
      <c r="L43" s="42"/>
      <c r="M43" s="42"/>
    </row>
    <row r="44" spans="2:13" x14ac:dyDescent="0.45">
      <c r="B44" s="48" t="s">
        <v>216</v>
      </c>
      <c r="C44" s="43"/>
      <c r="D44" s="43"/>
      <c r="E44" s="43"/>
      <c r="F44" s="43"/>
      <c r="G44" s="43"/>
      <c r="H44" s="42"/>
      <c r="I44" s="66" t="s">
        <v>219</v>
      </c>
      <c r="J44" s="70">
        <v>94317</v>
      </c>
      <c r="K44" s="70">
        <v>71843</v>
      </c>
      <c r="L44" s="42"/>
      <c r="M44" s="42"/>
    </row>
    <row r="45" spans="2:13" x14ac:dyDescent="0.45">
      <c r="B45" s="43" t="s">
        <v>772</v>
      </c>
      <c r="C45" s="49">
        <v>339429</v>
      </c>
      <c r="D45" s="49">
        <v>525752</v>
      </c>
      <c r="E45" s="49">
        <v>513047</v>
      </c>
      <c r="F45" s="49">
        <v>473167</v>
      </c>
      <c r="G45" s="49">
        <v>519816</v>
      </c>
      <c r="H45" s="42"/>
      <c r="I45" s="66" t="s">
        <v>220</v>
      </c>
      <c r="J45" s="70">
        <v>1100</v>
      </c>
      <c r="K45" s="70">
        <v>1164</v>
      </c>
      <c r="L45" s="42"/>
      <c r="M45" s="42"/>
    </row>
    <row r="46" spans="2:13" x14ac:dyDescent="0.45">
      <c r="B46" s="43" t="s">
        <v>219</v>
      </c>
      <c r="C46" s="53">
        <v>0</v>
      </c>
      <c r="D46" s="53">
        <v>0</v>
      </c>
      <c r="E46" s="53">
        <v>0</v>
      </c>
      <c r="F46" s="49">
        <v>110169</v>
      </c>
      <c r="G46" s="49">
        <v>97714</v>
      </c>
      <c r="H46" s="42"/>
      <c r="I46" s="66" t="s">
        <v>222</v>
      </c>
      <c r="J46" s="70">
        <v>15230</v>
      </c>
      <c r="K46" s="70">
        <v>18940</v>
      </c>
      <c r="L46" s="42"/>
      <c r="M46" s="42"/>
    </row>
    <row r="47" spans="2:13" x14ac:dyDescent="0.45">
      <c r="B47" s="43" t="s">
        <v>220</v>
      </c>
      <c r="C47" s="53">
        <v>0</v>
      </c>
      <c r="D47" s="53">
        <v>0</v>
      </c>
      <c r="E47" s="53">
        <v>0</v>
      </c>
      <c r="F47" s="47">
        <v>788</v>
      </c>
      <c r="G47" s="49">
        <v>1039</v>
      </c>
      <c r="H47" s="42"/>
      <c r="I47" s="66" t="s">
        <v>773</v>
      </c>
      <c r="J47" s="68">
        <v>0</v>
      </c>
      <c r="K47" s="70">
        <v>76745</v>
      </c>
      <c r="L47" s="42"/>
      <c r="M47" s="42"/>
    </row>
    <row r="48" spans="2:13" x14ac:dyDescent="0.45">
      <c r="B48" s="43" t="s">
        <v>221</v>
      </c>
      <c r="C48" s="49">
        <v>126546</v>
      </c>
      <c r="D48" s="49">
        <v>131390</v>
      </c>
      <c r="E48" s="47">
        <v>0</v>
      </c>
      <c r="F48" s="53">
        <v>0</v>
      </c>
      <c r="G48" s="53">
        <v>0</v>
      </c>
      <c r="H48" s="42"/>
      <c r="I48" s="69" t="s">
        <v>227</v>
      </c>
      <c r="J48" s="66"/>
      <c r="K48" s="66"/>
      <c r="L48" s="42"/>
      <c r="M48" s="42"/>
    </row>
    <row r="49" spans="2:13" x14ac:dyDescent="0.45">
      <c r="B49" s="43" t="s">
        <v>222</v>
      </c>
      <c r="C49" s="47">
        <v>224</v>
      </c>
      <c r="D49" s="47">
        <v>262</v>
      </c>
      <c r="E49" s="47">
        <v>422</v>
      </c>
      <c r="F49" s="49">
        <v>11231</v>
      </c>
      <c r="G49" s="49">
        <v>13764</v>
      </c>
      <c r="H49" s="42"/>
      <c r="I49" s="66" t="s">
        <v>228</v>
      </c>
      <c r="J49" s="70">
        <v>5</v>
      </c>
      <c r="K49" s="70">
        <v>5</v>
      </c>
      <c r="L49" s="42"/>
      <c r="M49" s="42"/>
    </row>
    <row r="50" spans="2:13" x14ac:dyDescent="0.45">
      <c r="B50" s="43" t="s">
        <v>223</v>
      </c>
      <c r="C50" s="49">
        <v>23909</v>
      </c>
      <c r="D50" s="53">
        <v>0</v>
      </c>
      <c r="E50" s="53">
        <v>0</v>
      </c>
      <c r="F50" s="53">
        <v>0</v>
      </c>
      <c r="G50" s="53">
        <v>0</v>
      </c>
      <c r="H50" s="42"/>
      <c r="I50" s="66" t="s">
        <v>228</v>
      </c>
      <c r="J50" s="70">
        <v>9</v>
      </c>
      <c r="K50" s="70">
        <v>9</v>
      </c>
      <c r="L50" s="42"/>
      <c r="M50" s="42"/>
    </row>
    <row r="51" spans="2:13" x14ac:dyDescent="0.45">
      <c r="B51" s="43" t="s">
        <v>224</v>
      </c>
      <c r="C51" s="53">
        <v>0</v>
      </c>
      <c r="D51" s="49">
        <v>24856</v>
      </c>
      <c r="E51" s="49">
        <v>32348</v>
      </c>
      <c r="F51" s="53">
        <v>0</v>
      </c>
      <c r="G51" s="53">
        <v>0</v>
      </c>
      <c r="H51" s="42"/>
      <c r="I51" s="66" t="s">
        <v>774</v>
      </c>
      <c r="J51" s="70">
        <v>918552</v>
      </c>
      <c r="K51" s="70">
        <v>936277</v>
      </c>
      <c r="L51" s="42"/>
      <c r="M51" s="42"/>
    </row>
    <row r="52" spans="2:13" x14ac:dyDescent="0.45">
      <c r="B52" s="48" t="s">
        <v>227</v>
      </c>
      <c r="C52" s="43"/>
      <c r="D52" s="43"/>
      <c r="E52" s="43"/>
      <c r="F52" s="43"/>
      <c r="G52" s="43"/>
      <c r="H52" s="42"/>
      <c r="I52" s="66" t="s">
        <v>775</v>
      </c>
      <c r="J52" s="70">
        <v>-1184013</v>
      </c>
      <c r="K52" s="70">
        <v>-1177880</v>
      </c>
      <c r="L52" s="42"/>
      <c r="M52" s="42"/>
    </row>
    <row r="53" spans="2:13" x14ac:dyDescent="0.45">
      <c r="B53" s="43" t="s">
        <v>228</v>
      </c>
      <c r="C53" s="47">
        <v>1</v>
      </c>
      <c r="D53" s="47">
        <v>1</v>
      </c>
      <c r="E53" s="47">
        <v>5</v>
      </c>
      <c r="F53" s="47">
        <v>5</v>
      </c>
      <c r="G53" s="47">
        <v>5</v>
      </c>
      <c r="H53" s="42"/>
      <c r="I53" s="66" t="s">
        <v>231</v>
      </c>
      <c r="J53" s="70">
        <v>-826</v>
      </c>
      <c r="K53" s="70">
        <v>-1280</v>
      </c>
      <c r="L53" s="42"/>
      <c r="M53" s="42"/>
    </row>
    <row r="54" spans="2:13" x14ac:dyDescent="0.45">
      <c r="B54" s="43" t="s">
        <v>228</v>
      </c>
      <c r="C54" s="47">
        <v>1</v>
      </c>
      <c r="D54" s="47">
        <v>1</v>
      </c>
      <c r="E54" s="47">
        <v>9</v>
      </c>
      <c r="F54" s="47">
        <v>8</v>
      </c>
      <c r="G54" s="47">
        <v>9</v>
      </c>
      <c r="H54" s="42"/>
      <c r="I54" s="66" t="s">
        <v>232</v>
      </c>
      <c r="J54" s="70">
        <v>-266273</v>
      </c>
      <c r="K54" s="70">
        <v>-242869</v>
      </c>
      <c r="L54" s="42"/>
      <c r="M54" s="42"/>
    </row>
    <row r="55" spans="2:13" x14ac:dyDescent="0.45">
      <c r="B55" s="43" t="s">
        <v>774</v>
      </c>
      <c r="C55" s="49">
        <v>1196</v>
      </c>
      <c r="D55" s="49">
        <v>9043</v>
      </c>
      <c r="E55" s="49">
        <v>911570</v>
      </c>
      <c r="F55" s="49">
        <v>875737</v>
      </c>
      <c r="G55" s="49">
        <v>924634</v>
      </c>
      <c r="H55" s="42"/>
      <c r="I55" s="66" t="s">
        <v>233</v>
      </c>
      <c r="J55" s="70">
        <v>965469</v>
      </c>
      <c r="K55" s="70">
        <v>1000879</v>
      </c>
      <c r="L55" s="42"/>
      <c r="M55" s="42"/>
    </row>
    <row r="56" spans="2:13" x14ac:dyDescent="0.45">
      <c r="B56" s="43" t="s">
        <v>775</v>
      </c>
      <c r="C56" s="49">
        <v>-378182</v>
      </c>
      <c r="D56" s="49">
        <v>-675706</v>
      </c>
      <c r="E56" s="49">
        <v>-924855</v>
      </c>
      <c r="F56" s="49">
        <v>-1177076</v>
      </c>
      <c r="G56" s="49">
        <v>-1184157</v>
      </c>
      <c r="H56" s="42"/>
      <c r="I56" s="42"/>
      <c r="J56" s="42"/>
      <c r="K56" s="42"/>
      <c r="L56" s="42"/>
      <c r="M56" s="42"/>
    </row>
    <row r="57" spans="2:13" x14ac:dyDescent="0.45">
      <c r="B57" s="43" t="s">
        <v>231</v>
      </c>
      <c r="C57" s="47">
        <v>-108</v>
      </c>
      <c r="D57" s="49">
        <v>2455</v>
      </c>
      <c r="E57" s="47">
        <v>-208</v>
      </c>
      <c r="F57" s="49">
        <v>-1665</v>
      </c>
      <c r="G57" s="47">
        <v>-843</v>
      </c>
      <c r="H57" s="42"/>
      <c r="I57" s="42"/>
      <c r="J57" s="42"/>
      <c r="K57" s="42"/>
      <c r="L57" s="42"/>
      <c r="M57" s="42"/>
    </row>
    <row r="58" spans="2:13" x14ac:dyDescent="0.45">
      <c r="B58" s="43" t="s">
        <v>232</v>
      </c>
      <c r="C58" s="49">
        <v>-377092</v>
      </c>
      <c r="D58" s="49">
        <v>-664206</v>
      </c>
      <c r="E58" s="49">
        <v>-13479</v>
      </c>
      <c r="F58" s="49">
        <v>-302991</v>
      </c>
      <c r="G58" s="49">
        <v>-260352</v>
      </c>
      <c r="H58" s="42"/>
      <c r="I58" s="42"/>
      <c r="J58" s="42"/>
      <c r="K58" s="42"/>
      <c r="L58" s="42"/>
      <c r="M58" s="42"/>
    </row>
    <row r="59" spans="2:13" x14ac:dyDescent="0.45">
      <c r="B59" s="43" t="s">
        <v>233</v>
      </c>
      <c r="C59" s="49">
        <v>336729</v>
      </c>
      <c r="D59" s="49">
        <v>306766</v>
      </c>
      <c r="E59" s="49">
        <v>899549</v>
      </c>
      <c r="F59" s="49">
        <v>730517</v>
      </c>
      <c r="G59" s="49">
        <v>921759</v>
      </c>
      <c r="H59" s="42"/>
      <c r="I59" s="42"/>
      <c r="J59" s="42"/>
      <c r="K59" s="42"/>
      <c r="L59" s="42"/>
      <c r="M59" s="42"/>
    </row>
    <row r="60" spans="2:13" x14ac:dyDescent="0.45">
      <c r="B60" s="43"/>
      <c r="C60" s="42"/>
      <c r="D60" s="42"/>
      <c r="E60" s="42"/>
      <c r="F60" s="42"/>
      <c r="G60" s="42"/>
      <c r="H60" s="42"/>
      <c r="I60" s="42"/>
      <c r="J60" s="42"/>
      <c r="K60" s="42"/>
      <c r="L60" s="42"/>
      <c r="M60" s="42"/>
    </row>
    <row r="61" spans="2:13" x14ac:dyDescent="0.45">
      <c r="B61" s="44"/>
      <c r="C61" s="42"/>
      <c r="D61" s="42"/>
      <c r="E61" s="42"/>
      <c r="F61" s="42"/>
      <c r="G61" s="42"/>
      <c r="H61" s="42"/>
      <c r="I61" s="42"/>
      <c r="J61" s="42"/>
      <c r="K61" s="42"/>
      <c r="L61" s="42"/>
      <c r="M61" s="42"/>
    </row>
    <row r="62" spans="2:13" ht="85.5" customHeight="1" x14ac:dyDescent="0.45">
      <c r="B62" s="638" t="s">
        <v>762</v>
      </c>
      <c r="C62" s="638"/>
      <c r="D62" s="638"/>
      <c r="E62" s="638"/>
      <c r="F62" s="638"/>
      <c r="G62" s="638"/>
      <c r="H62" s="42"/>
      <c r="I62" s="42"/>
      <c r="J62" s="42"/>
      <c r="K62" s="42"/>
      <c r="L62" s="42"/>
      <c r="M62" s="42"/>
    </row>
  </sheetData>
  <mergeCells count="4">
    <mergeCell ref="B2:E2"/>
    <mergeCell ref="B3:M3"/>
    <mergeCell ref="B12:G12"/>
    <mergeCell ref="B62:G62"/>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4965C2-1A7C-4021-BD87-0B5A86667593}">
  <dimension ref="B2:M57"/>
  <sheetViews>
    <sheetView showGridLines="0" topLeftCell="B1" workbookViewId="0">
      <selection activeCell="B2" sqref="B2:M2"/>
    </sheetView>
  </sheetViews>
  <sheetFormatPr defaultColWidth="15.33203125" defaultRowHeight="14.25" x14ac:dyDescent="0.45"/>
  <cols>
    <col min="1" max="1" width="4.33203125" style="3" customWidth="1"/>
    <col min="2" max="2" width="58.33203125" style="3" bestFit="1" customWidth="1"/>
    <col min="3" max="16384" width="15.33203125" style="3"/>
  </cols>
  <sheetData>
    <row r="2" spans="2:13" ht="18" x14ac:dyDescent="0.55000000000000004">
      <c r="B2" s="635" t="s">
        <v>776</v>
      </c>
      <c r="C2" s="635"/>
      <c r="D2" s="635"/>
      <c r="E2" s="635"/>
      <c r="F2" s="635"/>
      <c r="G2" s="635"/>
      <c r="H2" s="635"/>
      <c r="I2" s="635"/>
      <c r="J2" s="635"/>
      <c r="K2" s="635"/>
      <c r="L2" s="635"/>
      <c r="M2" s="635"/>
    </row>
    <row r="3" spans="2:13" x14ac:dyDescent="0.45">
      <c r="B3" s="25" t="s">
        <v>726</v>
      </c>
    </row>
    <row r="5" spans="2:13" x14ac:dyDescent="0.45">
      <c r="B5" s="25" t="s">
        <v>727</v>
      </c>
      <c r="C5" s="7"/>
    </row>
    <row r="6" spans="2:13" x14ac:dyDescent="0.45">
      <c r="B6" s="25" t="s">
        <v>728</v>
      </c>
      <c r="C6" s="7"/>
    </row>
    <row r="7" spans="2:13" x14ac:dyDescent="0.45">
      <c r="B7" s="25" t="s">
        <v>729</v>
      </c>
      <c r="C7" s="7"/>
    </row>
    <row r="8" spans="2:13" x14ac:dyDescent="0.45">
      <c r="B8" s="25" t="s">
        <v>730</v>
      </c>
      <c r="C8" s="7"/>
    </row>
    <row r="9" spans="2:13" x14ac:dyDescent="0.45">
      <c r="B9" s="25" t="s">
        <v>731</v>
      </c>
      <c r="C9" s="7"/>
    </row>
    <row r="10" spans="2:13" x14ac:dyDescent="0.45">
      <c r="B10" s="25"/>
    </row>
    <row r="11" spans="2:13" x14ac:dyDescent="0.45">
      <c r="B11" s="620"/>
      <c r="C11" s="620"/>
      <c r="D11" s="620"/>
      <c r="E11" s="620"/>
      <c r="F11" s="620"/>
      <c r="G11" s="620"/>
    </row>
    <row r="12" spans="2:13" x14ac:dyDescent="0.45">
      <c r="B12" s="50" t="s">
        <v>732</v>
      </c>
      <c r="C12" s="51" t="s">
        <v>733</v>
      </c>
      <c r="D12" s="51" t="s">
        <v>734</v>
      </c>
      <c r="E12" s="51" t="s">
        <v>735</v>
      </c>
      <c r="F12" s="51" t="s">
        <v>736</v>
      </c>
      <c r="G12" s="51" t="s">
        <v>737</v>
      </c>
    </row>
    <row r="13" spans="2:13" x14ac:dyDescent="0.45">
      <c r="B13" s="25" t="s">
        <v>740</v>
      </c>
      <c r="C13" s="52">
        <v>43830</v>
      </c>
      <c r="D13" s="52">
        <v>44196</v>
      </c>
      <c r="E13" s="52">
        <v>44561</v>
      </c>
      <c r="F13" s="52">
        <v>44926</v>
      </c>
      <c r="G13" s="52">
        <v>45291</v>
      </c>
    </row>
    <row r="14" spans="2:13" x14ac:dyDescent="0.45">
      <c r="B14" s="25" t="s">
        <v>741</v>
      </c>
      <c r="C14" s="53" t="s">
        <v>742</v>
      </c>
      <c r="D14" s="53" t="s">
        <v>742</v>
      </c>
      <c r="E14" s="53" t="s">
        <v>742</v>
      </c>
      <c r="F14" s="53" t="s">
        <v>742</v>
      </c>
      <c r="G14" s="53" t="s">
        <v>742</v>
      </c>
    </row>
    <row r="15" spans="2:13" x14ac:dyDescent="0.45">
      <c r="B15" s="25" t="s">
        <v>123</v>
      </c>
      <c r="C15" s="53" t="s">
        <v>743</v>
      </c>
      <c r="D15" s="53" t="s">
        <v>743</v>
      </c>
      <c r="E15" s="53" t="s">
        <v>743</v>
      </c>
      <c r="F15" s="53" t="s">
        <v>743</v>
      </c>
      <c r="G15" s="53" t="s">
        <v>743</v>
      </c>
    </row>
    <row r="16" spans="2:13" x14ac:dyDescent="0.45">
      <c r="B16" s="30" t="s">
        <v>235</v>
      </c>
      <c r="C16" s="25"/>
      <c r="D16" s="25"/>
      <c r="E16" s="25"/>
      <c r="F16" s="25"/>
      <c r="G16" s="25"/>
    </row>
    <row r="17" spans="2:7" x14ac:dyDescent="0.45">
      <c r="B17" s="25" t="s">
        <v>188</v>
      </c>
      <c r="C17" s="54">
        <v>58152</v>
      </c>
      <c r="D17" s="54">
        <v>30588</v>
      </c>
      <c r="E17" s="54">
        <v>-249149</v>
      </c>
      <c r="F17" s="54">
        <v>-252221</v>
      </c>
      <c r="G17" s="54">
        <v>-7081</v>
      </c>
    </row>
    <row r="18" spans="2:7" x14ac:dyDescent="0.45">
      <c r="B18" s="25" t="s">
        <v>777</v>
      </c>
      <c r="C18" s="54">
        <v>18309</v>
      </c>
      <c r="D18" s="54">
        <v>21703</v>
      </c>
      <c r="E18" s="54">
        <v>32720</v>
      </c>
      <c r="F18" s="54">
        <v>31617</v>
      </c>
      <c r="G18" s="54">
        <v>43927</v>
      </c>
    </row>
    <row r="19" spans="2:7" x14ac:dyDescent="0.45">
      <c r="B19" s="25" t="s">
        <v>183</v>
      </c>
      <c r="C19" s="53">
        <v>0</v>
      </c>
      <c r="D19" s="53">
        <v>0</v>
      </c>
      <c r="E19" s="53">
        <v>0</v>
      </c>
      <c r="F19" s="54">
        <v>225163</v>
      </c>
      <c r="G19" s="53">
        <v>0</v>
      </c>
    </row>
    <row r="20" spans="2:7" x14ac:dyDescent="0.45">
      <c r="B20" s="25" t="s">
        <v>237</v>
      </c>
      <c r="C20" s="54">
        <v>17975</v>
      </c>
      <c r="D20" s="54">
        <v>31254</v>
      </c>
      <c r="E20" s="54">
        <v>307924</v>
      </c>
      <c r="F20" s="54">
        <v>102533</v>
      </c>
      <c r="G20" s="54">
        <v>107749</v>
      </c>
    </row>
    <row r="21" spans="2:7" x14ac:dyDescent="0.45">
      <c r="B21" s="25" t="s">
        <v>200</v>
      </c>
      <c r="C21" s="54">
        <v>-4018</v>
      </c>
      <c r="D21" s="54">
        <v>-4852</v>
      </c>
      <c r="E21" s="54">
        <v>3196</v>
      </c>
      <c r="F21" s="54">
        <v>788</v>
      </c>
      <c r="G21" s="54">
        <v>251</v>
      </c>
    </row>
    <row r="22" spans="2:7" x14ac:dyDescent="0.45">
      <c r="B22" s="25" t="s">
        <v>238</v>
      </c>
      <c r="C22" s="54">
        <v>-310</v>
      </c>
      <c r="D22" s="54">
        <v>2437</v>
      </c>
      <c r="E22" s="54">
        <v>1181</v>
      </c>
      <c r="F22" s="54">
        <v>832</v>
      </c>
      <c r="G22" s="54">
        <v>831</v>
      </c>
    </row>
    <row r="23" spans="2:7" x14ac:dyDescent="0.45">
      <c r="B23" s="25" t="s">
        <v>778</v>
      </c>
      <c r="C23" s="53">
        <v>0</v>
      </c>
      <c r="D23" s="53">
        <v>0</v>
      </c>
      <c r="E23" s="53">
        <v>0</v>
      </c>
      <c r="F23" s="54">
        <v>2227</v>
      </c>
      <c r="G23" s="54">
        <v>-2286</v>
      </c>
    </row>
    <row r="24" spans="2:7" x14ac:dyDescent="0.45">
      <c r="B24" s="25" t="s">
        <v>240</v>
      </c>
      <c r="C24" s="54">
        <v>-133</v>
      </c>
      <c r="D24" s="54">
        <v>-2936</v>
      </c>
      <c r="E24" s="54">
        <v>712</v>
      </c>
      <c r="F24" s="54">
        <v>-5461</v>
      </c>
      <c r="G24" s="54">
        <v>-15678</v>
      </c>
    </row>
    <row r="25" spans="2:7" x14ac:dyDescent="0.45">
      <c r="B25" s="25" t="s">
        <v>241</v>
      </c>
      <c r="C25" s="54">
        <v>987</v>
      </c>
      <c r="D25" s="54">
        <v>27115</v>
      </c>
      <c r="E25" s="54">
        <v>14525</v>
      </c>
      <c r="F25" s="54">
        <v>-2215</v>
      </c>
      <c r="G25" s="54">
        <v>33519</v>
      </c>
    </row>
    <row r="26" spans="2:7" x14ac:dyDescent="0.45">
      <c r="B26" s="25" t="s">
        <v>211</v>
      </c>
      <c r="C26" s="54">
        <v>30347</v>
      </c>
      <c r="D26" s="54">
        <v>40104</v>
      </c>
      <c r="E26" s="54">
        <v>29364</v>
      </c>
      <c r="F26" s="54">
        <v>39464</v>
      </c>
      <c r="G26" s="54">
        <v>61364</v>
      </c>
    </row>
    <row r="27" spans="2:7" x14ac:dyDescent="0.45">
      <c r="B27" s="25" t="s">
        <v>194</v>
      </c>
      <c r="C27" s="54">
        <v>-17910</v>
      </c>
      <c r="D27" s="54">
        <v>8659</v>
      </c>
      <c r="E27" s="54">
        <v>-35423</v>
      </c>
      <c r="F27" s="54">
        <v>3699</v>
      </c>
      <c r="G27" s="54">
        <v>-458</v>
      </c>
    </row>
    <row r="28" spans="2:7" x14ac:dyDescent="0.45">
      <c r="B28" s="25" t="s">
        <v>242</v>
      </c>
      <c r="C28" s="54">
        <v>-1266</v>
      </c>
      <c r="D28" s="54">
        <v>-4042</v>
      </c>
      <c r="E28" s="54">
        <v>7381</v>
      </c>
      <c r="F28" s="54">
        <v>9086</v>
      </c>
      <c r="G28" s="54">
        <v>5152</v>
      </c>
    </row>
    <row r="29" spans="2:7" x14ac:dyDescent="0.45">
      <c r="B29" s="25" t="s">
        <v>243</v>
      </c>
      <c r="C29" s="54">
        <v>200</v>
      </c>
      <c r="D29" s="53">
        <v>0</v>
      </c>
      <c r="E29" s="53">
        <v>0</v>
      </c>
      <c r="F29" s="53">
        <v>0</v>
      </c>
      <c r="G29" s="53">
        <v>0</v>
      </c>
    </row>
    <row r="30" spans="2:7" x14ac:dyDescent="0.45">
      <c r="B30" s="25" t="s">
        <v>213</v>
      </c>
      <c r="C30" s="53">
        <v>0</v>
      </c>
      <c r="D30" s="53">
        <v>0</v>
      </c>
      <c r="E30" s="54">
        <v>10726</v>
      </c>
      <c r="F30" s="54">
        <v>8707</v>
      </c>
      <c r="G30" s="54">
        <v>3827</v>
      </c>
    </row>
    <row r="31" spans="2:7" x14ac:dyDescent="0.45">
      <c r="B31" s="25" t="s">
        <v>244</v>
      </c>
      <c r="C31" s="54">
        <v>102333</v>
      </c>
      <c r="D31" s="54">
        <v>150030</v>
      </c>
      <c r="E31" s="54">
        <v>123157</v>
      </c>
      <c r="F31" s="54">
        <v>164219</v>
      </c>
      <c r="G31" s="54">
        <v>231117</v>
      </c>
    </row>
    <row r="32" spans="2:7" x14ac:dyDescent="0.45">
      <c r="B32" s="30" t="s">
        <v>245</v>
      </c>
      <c r="C32" s="25"/>
      <c r="D32" s="25"/>
      <c r="E32" s="25"/>
      <c r="F32" s="25"/>
      <c r="G32" s="25"/>
    </row>
    <row r="33" spans="2:7" x14ac:dyDescent="0.45">
      <c r="B33" s="25" t="s">
        <v>246</v>
      </c>
      <c r="C33" s="54">
        <v>-8217</v>
      </c>
      <c r="D33" s="54">
        <v>-4712</v>
      </c>
      <c r="E33" s="54">
        <v>-11021</v>
      </c>
      <c r="F33" s="54">
        <v>-11543</v>
      </c>
      <c r="G33" s="54">
        <v>-16998</v>
      </c>
    </row>
    <row r="34" spans="2:7" x14ac:dyDescent="0.45">
      <c r="B34" s="25" t="s">
        <v>247</v>
      </c>
      <c r="C34" s="54">
        <v>-95744</v>
      </c>
      <c r="D34" s="53">
        <v>0</v>
      </c>
      <c r="E34" s="54">
        <v>-202170</v>
      </c>
      <c r="F34" s="53">
        <v>0</v>
      </c>
      <c r="G34" s="54">
        <v>-176721</v>
      </c>
    </row>
    <row r="35" spans="2:7" x14ac:dyDescent="0.45">
      <c r="B35" s="25" t="s">
        <v>248</v>
      </c>
      <c r="C35" s="54">
        <v>-145850</v>
      </c>
      <c r="D35" s="54">
        <v>-109966</v>
      </c>
      <c r="E35" s="54">
        <v>-28694</v>
      </c>
      <c r="F35" s="54">
        <v>-27681</v>
      </c>
      <c r="G35" s="54">
        <v>-7824</v>
      </c>
    </row>
    <row r="36" spans="2:7" x14ac:dyDescent="0.45">
      <c r="B36" s="25" t="s">
        <v>249</v>
      </c>
      <c r="C36" s="54">
        <v>174583</v>
      </c>
      <c r="D36" s="54">
        <v>148762</v>
      </c>
      <c r="E36" s="54">
        <v>34155</v>
      </c>
      <c r="F36" s="54">
        <v>27193</v>
      </c>
      <c r="G36" s="54">
        <v>39664</v>
      </c>
    </row>
    <row r="37" spans="2:7" x14ac:dyDescent="0.45">
      <c r="B37" s="25" t="s">
        <v>238</v>
      </c>
      <c r="C37" s="54">
        <v>-95</v>
      </c>
      <c r="D37" s="54">
        <v>178</v>
      </c>
      <c r="E37" s="53">
        <v>0</v>
      </c>
      <c r="F37" s="53">
        <v>0</v>
      </c>
      <c r="G37" s="53">
        <v>0</v>
      </c>
    </row>
    <row r="38" spans="2:7" x14ac:dyDescent="0.45">
      <c r="B38" s="25" t="s">
        <v>250</v>
      </c>
      <c r="C38" s="54">
        <v>-75323</v>
      </c>
      <c r="D38" s="54">
        <v>34262</v>
      </c>
      <c r="E38" s="54">
        <v>-207730</v>
      </c>
      <c r="F38" s="54">
        <v>-12031</v>
      </c>
      <c r="G38" s="54">
        <v>-161879</v>
      </c>
    </row>
    <row r="39" spans="2:7" x14ac:dyDescent="0.45">
      <c r="B39" s="30" t="s">
        <v>251</v>
      </c>
      <c r="C39" s="25"/>
      <c r="D39" s="25"/>
      <c r="E39" s="25"/>
      <c r="F39" s="25"/>
      <c r="G39" s="25"/>
    </row>
    <row r="40" spans="2:7" x14ac:dyDescent="0.45">
      <c r="B40" s="25" t="s">
        <v>253</v>
      </c>
      <c r="C40" s="54">
        <v>349100</v>
      </c>
      <c r="D40" s="54">
        <v>197325</v>
      </c>
      <c r="E40" s="53">
        <v>0</v>
      </c>
      <c r="F40" s="53">
        <v>0</v>
      </c>
      <c r="G40" s="54">
        <v>99444</v>
      </c>
    </row>
    <row r="41" spans="2:7" x14ac:dyDescent="0.45">
      <c r="B41" s="25" t="s">
        <v>779</v>
      </c>
      <c r="C41" s="54">
        <v>-556</v>
      </c>
      <c r="D41" s="54">
        <v>-6563</v>
      </c>
      <c r="E41" s="54">
        <v>-13586</v>
      </c>
      <c r="F41" s="54">
        <v>-13586</v>
      </c>
      <c r="G41" s="54">
        <v>-44867</v>
      </c>
    </row>
    <row r="42" spans="2:7" x14ac:dyDescent="0.45">
      <c r="B42" s="25" t="s">
        <v>255</v>
      </c>
      <c r="C42" s="53">
        <v>0</v>
      </c>
      <c r="D42" s="53">
        <v>0</v>
      </c>
      <c r="E42" s="54">
        <v>304409</v>
      </c>
      <c r="F42" s="53">
        <v>0</v>
      </c>
      <c r="G42" s="53">
        <v>0</v>
      </c>
    </row>
    <row r="43" spans="2:7" x14ac:dyDescent="0.45">
      <c r="B43" s="25" t="s">
        <v>256</v>
      </c>
      <c r="C43" s="54">
        <v>4370</v>
      </c>
      <c r="D43" s="54">
        <v>1435</v>
      </c>
      <c r="E43" s="54">
        <v>4760</v>
      </c>
      <c r="F43" s="54">
        <v>2211</v>
      </c>
      <c r="G43" s="54">
        <v>228</v>
      </c>
    </row>
    <row r="44" spans="2:7" x14ac:dyDescent="0.45">
      <c r="B44" s="25" t="s">
        <v>257</v>
      </c>
      <c r="C44" s="54">
        <v>-44463</v>
      </c>
      <c r="D44" s="53">
        <v>0</v>
      </c>
      <c r="E44" s="53">
        <v>0</v>
      </c>
      <c r="F44" s="53">
        <v>0</v>
      </c>
      <c r="G44" s="53">
        <v>0</v>
      </c>
    </row>
    <row r="45" spans="2:7" x14ac:dyDescent="0.45">
      <c r="B45" s="25" t="s">
        <v>258</v>
      </c>
      <c r="C45" s="54">
        <v>-3340</v>
      </c>
      <c r="D45" s="54">
        <v>-20161</v>
      </c>
      <c r="E45" s="54">
        <v>-34503</v>
      </c>
      <c r="F45" s="54">
        <v>-21268</v>
      </c>
      <c r="G45" s="54">
        <v>-36366</v>
      </c>
    </row>
    <row r="46" spans="2:7" x14ac:dyDescent="0.45">
      <c r="B46" s="25" t="s">
        <v>259</v>
      </c>
      <c r="C46" s="54">
        <v>-350000</v>
      </c>
      <c r="D46" s="53">
        <v>0</v>
      </c>
      <c r="E46" s="53">
        <v>0</v>
      </c>
      <c r="F46" s="53">
        <v>0</v>
      </c>
      <c r="G46" s="53">
        <v>0</v>
      </c>
    </row>
    <row r="47" spans="2:7" x14ac:dyDescent="0.45">
      <c r="B47" s="25" t="s">
        <v>260</v>
      </c>
      <c r="C47" s="53">
        <v>0</v>
      </c>
      <c r="D47" s="53">
        <v>0</v>
      </c>
      <c r="E47" s="53">
        <v>0</v>
      </c>
      <c r="F47" s="54">
        <v>-120193</v>
      </c>
      <c r="G47" s="54">
        <v>-25989</v>
      </c>
    </row>
    <row r="48" spans="2:7" x14ac:dyDescent="0.45">
      <c r="B48" s="25" t="s">
        <v>261</v>
      </c>
      <c r="C48" s="53">
        <v>0</v>
      </c>
      <c r="D48" s="54">
        <v>-327745</v>
      </c>
      <c r="E48" s="54">
        <v>-367</v>
      </c>
      <c r="F48" s="53">
        <v>0</v>
      </c>
      <c r="G48" s="53">
        <v>0</v>
      </c>
    </row>
    <row r="49" spans="2:8" x14ac:dyDescent="0.45">
      <c r="B49" s="25" t="s">
        <v>262</v>
      </c>
      <c r="C49" s="54">
        <v>-938</v>
      </c>
      <c r="D49" s="53">
        <v>0</v>
      </c>
      <c r="E49" s="53">
        <v>0</v>
      </c>
      <c r="F49" s="53">
        <v>0</v>
      </c>
      <c r="G49" s="54">
        <v>-637</v>
      </c>
    </row>
    <row r="50" spans="2:8" x14ac:dyDescent="0.45">
      <c r="B50" s="25" t="s">
        <v>267</v>
      </c>
      <c r="C50" s="53">
        <v>0</v>
      </c>
      <c r="D50" s="54">
        <v>-15000</v>
      </c>
      <c r="E50" s="53">
        <v>0</v>
      </c>
      <c r="F50" s="53">
        <v>0</v>
      </c>
      <c r="G50" s="53">
        <v>0</v>
      </c>
    </row>
    <row r="51" spans="2:8" x14ac:dyDescent="0.45">
      <c r="B51" s="362" t="s">
        <v>268</v>
      </c>
      <c r="C51" s="54">
        <v>-45827</v>
      </c>
      <c r="D51" s="54">
        <v>-170709</v>
      </c>
      <c r="E51" s="54">
        <v>260713</v>
      </c>
      <c r="F51" s="54">
        <v>-152836</v>
      </c>
      <c r="G51" s="54">
        <v>-8187</v>
      </c>
    </row>
    <row r="52" spans="2:8" x14ac:dyDescent="0.45">
      <c r="B52" s="30" t="s">
        <v>269</v>
      </c>
      <c r="C52" s="25"/>
      <c r="D52" s="25"/>
      <c r="E52" s="25"/>
      <c r="F52" s="25"/>
      <c r="G52" s="25"/>
    </row>
    <row r="53" spans="2:8" x14ac:dyDescent="0.45">
      <c r="B53" s="25" t="s">
        <v>270</v>
      </c>
      <c r="C53" s="54">
        <v>-171</v>
      </c>
      <c r="D53" s="54">
        <v>659</v>
      </c>
      <c r="E53" s="54">
        <v>-351</v>
      </c>
      <c r="F53" s="54">
        <v>-412</v>
      </c>
      <c r="G53" s="54">
        <v>614</v>
      </c>
    </row>
    <row r="54" spans="2:8" x14ac:dyDescent="0.45">
      <c r="B54" s="25" t="s">
        <v>271</v>
      </c>
      <c r="C54" s="54">
        <v>-18988</v>
      </c>
      <c r="D54" s="54">
        <v>14242</v>
      </c>
      <c r="E54" s="54">
        <v>175789</v>
      </c>
      <c r="F54" s="54">
        <v>-1060</v>
      </c>
      <c r="G54" s="54">
        <v>61665</v>
      </c>
      <c r="H54" s="363"/>
    </row>
    <row r="55" spans="2:8" x14ac:dyDescent="0.45">
      <c r="B55" s="25"/>
    </row>
    <row r="56" spans="2:8" x14ac:dyDescent="0.45">
      <c r="B56" s="7"/>
    </row>
    <row r="57" spans="2:8" x14ac:dyDescent="0.45">
      <c r="B57" s="620" t="s">
        <v>762</v>
      </c>
      <c r="C57" s="620"/>
      <c r="D57" s="620"/>
      <c r="E57" s="620"/>
      <c r="F57" s="620"/>
      <c r="G57" s="620"/>
    </row>
  </sheetData>
  <mergeCells count="3">
    <mergeCell ref="B11:G11"/>
    <mergeCell ref="B57:G57"/>
    <mergeCell ref="B2:M2"/>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52D713BD07A8146A8D1DDE5009586B0" ma:contentTypeVersion="5" ma:contentTypeDescription="Create a new document." ma:contentTypeScope="" ma:versionID="c064a57ef8a34d06a6edfb54b7fd08ea">
  <xsd:schema xmlns:xsd="http://www.w3.org/2001/XMLSchema" xmlns:xs="http://www.w3.org/2001/XMLSchema" xmlns:p="http://schemas.microsoft.com/office/2006/metadata/properties" xmlns:ns3="0193fe1e-4a80-46dd-b788-4c8d75cc464b" targetNamespace="http://schemas.microsoft.com/office/2006/metadata/properties" ma:root="true" ma:fieldsID="faab3cab53bd5491a1faccdccaf1cdae" ns3:_="">
    <xsd:import namespace="0193fe1e-4a80-46dd-b788-4c8d75cc464b"/>
    <xsd:element name="properties">
      <xsd:complexType>
        <xsd:sequence>
          <xsd:element name="documentManagement">
            <xsd:complexType>
              <xsd:all>
                <xsd:element ref="ns3:MediaServiceDateTaken" minOccurs="0"/>
                <xsd:element ref="ns3:_activity" minOccurs="0"/>
                <xsd:element ref="ns3:MediaServiceMetadata" minOccurs="0"/>
                <xsd:element ref="ns3:MediaServiceFastMetadata"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193fe1e-4a80-46dd-b788-4c8d75cc464b"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_activity" ma:index="9" nillable="true" ma:displayName="_activity" ma:hidden="true" ma:internalName="_activity">
      <xsd:simpleType>
        <xsd:restriction base="dms:Note"/>
      </xsd:simpleType>
    </xsd:element>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SearchProperties" ma:index="12"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activity xmlns="0193fe1e-4a80-46dd-b788-4c8d75cc464b"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0EB561B-FDF9-4629-BFFA-18B9593575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193fe1e-4a80-46dd-b788-4c8d75cc464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4E629E6-1C14-40C5-B357-0AC7D22D06DB}">
  <ds:schemaRefs>
    <ds:schemaRef ds:uri="0193fe1e-4a80-46dd-b788-4c8d75cc464b"/>
    <ds:schemaRef ds:uri="http://purl.org/dc/elements/1.1/"/>
    <ds:schemaRef ds:uri="http://schemas.microsoft.com/office/2006/documentManagement/types"/>
    <ds:schemaRef ds:uri="http://schemas.microsoft.com/office/2006/metadata/properties"/>
    <ds:schemaRef ds:uri="http://schemas.openxmlformats.org/package/2006/metadata/core-properties"/>
    <ds:schemaRef ds:uri="http://purl.org/dc/terms/"/>
    <ds:schemaRef ds:uri="http://purl.org/dc/dcmitype/"/>
    <ds:schemaRef ds:uri="http://schemas.microsoft.com/office/infopath/2007/PartnerControls"/>
    <ds:schemaRef ds:uri="http://www.w3.org/XML/1998/namespace"/>
  </ds:schemaRefs>
</ds:datastoreItem>
</file>

<file path=customXml/itemProps3.xml><?xml version="1.0" encoding="utf-8"?>
<ds:datastoreItem xmlns:ds="http://schemas.openxmlformats.org/officeDocument/2006/customXml" ds:itemID="{AE853BBD-43A4-4163-AD9B-EFA04B689FDF}">
  <ds:schemaRefs>
    <ds:schemaRef ds:uri="http://schemas.microsoft.com/sharepoint/v3/contenttype/forms"/>
  </ds:schemaRefs>
</ds:datastoreItem>
</file>

<file path=docMetadata/LabelInfo.xml><?xml version="1.0" encoding="utf-8"?>
<clbl:labelList xmlns:clbl="http://schemas.microsoft.com/office/2020/mipLabelMetadata">
  <clbl:label id="{5567eafd-e777-42a5-91bb-9440fd43b893}" enabled="0" method="" siteId="{5567eafd-e777-42a5-91bb-9440fd43b89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Cover</vt:lpstr>
      <vt:lpstr>Transaction Details</vt:lpstr>
      <vt:lpstr>Key Inputs and Drivers</vt:lpstr>
      <vt:lpstr>Model</vt:lpstr>
      <vt:lpstr>Appendix</vt:lpstr>
      <vt:lpstr>Graphs</vt:lpstr>
      <vt:lpstr>Historical IS</vt:lpstr>
      <vt:lpstr>Historical BS</vt:lpstr>
      <vt:lpstr>Historical CFS</vt:lpstr>
      <vt:lpstr>Historical SOFR Rates</vt:lpstr>
      <vt:lpstr>Comps Part 1</vt:lpstr>
      <vt:lpstr>Comps Part 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Siddharth Srikanth</dc:creator>
  <cp:keywords/>
  <dc:description/>
  <cp:lastModifiedBy>Srikanth,S (ug)</cp:lastModifiedBy>
  <cp:revision/>
  <dcterms:created xsi:type="dcterms:W3CDTF">2025-12-11T12:32:09Z</dcterms:created>
  <dcterms:modified xsi:type="dcterms:W3CDTF">2026-02-24T11:21:31Z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44787D4-0540-4523-9961-78E4036D8C6D}">
    <vt:lpwstr>{683211B2-5C44-4369-B3A3-780217354A19}</vt:lpwstr>
  </property>
  <property fmtid="{D5CDD505-2E9C-101B-9397-08002B2CF9AE}" pid="3" name="ContentTypeId">
    <vt:lpwstr>0x010100352D713BD07A8146A8D1DDE5009586B0</vt:lpwstr>
  </property>
</Properties>
</file>