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ustomProperty1.bin" ContentType="application/vnd.openxmlformats-officedocument.spreadsheetml.customProperty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https://lsecloud-my.sharepoint.com/personal/h_yu30_lse_ac_uk/Documents/PES 25-26/PES Research 25-26/Workshop/Part 2/"/>
    </mc:Choice>
  </mc:AlternateContent>
  <xr:revisionPtr revIDLastSave="460" documentId="14_{EF8363F8-9290-47D9-BBFB-6CAD93E2C0C6}" xr6:coauthVersionLast="47" xr6:coauthVersionMax="47" xr10:uidLastSave="{E2D90815-4087-4709-BEE4-A69D43122033}"/>
  <bookViews>
    <workbookView minimized="1" xWindow="3000" yWindow="3000" windowWidth="17280" windowHeight="9960" activeTab="1" xr2:uid="{00000000-000D-0000-FFFF-FFFF00000000}"/>
  </bookViews>
  <sheets>
    <sheet name="Cover" sheetId="1" r:id="rId1"/>
    <sheet name="Outputs" sheetId="2" r:id="rId2"/>
    <sheet name="Transaction Details" sheetId="3" r:id="rId3"/>
    <sheet name="Inputs and Driver" sheetId="4" r:id="rId4"/>
    <sheet name="Model" sheetId="5" r:id="rId5"/>
    <sheet name="Additional Data" sheetId="9" r:id="rId6"/>
    <sheet name="Balance Sheet" sheetId="8" r:id="rId7"/>
    <sheet name="Cash Flow Statement" sheetId="7" r:id="rId8"/>
    <sheet name="Income Statement" sheetId="6" r:id="rId9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7" i="5" l="1"/>
  <c r="O256" i="5"/>
  <c r="N256" i="5"/>
  <c r="M256" i="5"/>
  <c r="L256" i="5"/>
  <c r="L255" i="5"/>
  <c r="L254" i="5"/>
  <c r="L253" i="5"/>
  <c r="M244" i="5" a="1"/>
  <c r="M244" i="5" s="1"/>
  <c r="I119" i="5"/>
  <c r="I121" i="5"/>
  <c r="I50" i="5"/>
  <c r="N24" i="3"/>
  <c r="H205" i="5" l="1"/>
  <c r="H187" i="5"/>
  <c r="E20" i="2"/>
  <c r="E19" i="2"/>
  <c r="E18" i="2"/>
  <c r="E17" i="2"/>
  <c r="E15" i="2"/>
  <c r="E14" i="2"/>
  <c r="E12" i="2"/>
  <c r="E9" i="2"/>
  <c r="E8" i="2"/>
  <c r="E7" i="2"/>
  <c r="S10" i="2"/>
  <c r="S9" i="2"/>
  <c r="S8" i="2"/>
  <c r="S7" i="2"/>
  <c r="M12" i="2"/>
  <c r="M11" i="2"/>
  <c r="M10" i="2"/>
  <c r="M9" i="2"/>
  <c r="M8" i="2"/>
  <c r="M7" i="2"/>
  <c r="N12" i="2"/>
  <c r="N11" i="2"/>
  <c r="N10" i="2"/>
  <c r="N9" i="2"/>
  <c r="N8" i="2"/>
  <c r="N7" i="2"/>
  <c r="N17" i="2"/>
  <c r="AD97" i="2"/>
  <c r="Q284" i="5" s="1"/>
  <c r="AO92" i="2"/>
  <c r="AN92" i="2"/>
  <c r="AM92" i="2"/>
  <c r="AL92" i="2"/>
  <c r="AK92" i="2"/>
  <c r="AJ92" i="2"/>
  <c r="AO91" i="2"/>
  <c r="AN91" i="2"/>
  <c r="AM91" i="2"/>
  <c r="AL91" i="2"/>
  <c r="AK91" i="2"/>
  <c r="AJ91" i="2"/>
  <c r="AO89" i="2"/>
  <c r="AN89" i="2"/>
  <c r="AM89" i="2"/>
  <c r="AL89" i="2"/>
  <c r="AK89" i="2"/>
  <c r="AJ89" i="2"/>
  <c r="AJ88" i="2"/>
  <c r="D97" i="2"/>
  <c r="D98" i="2" s="1"/>
  <c r="D95" i="2"/>
  <c r="D94" i="2" s="1"/>
  <c r="P284" i="5" l="1"/>
  <c r="R284" i="5"/>
  <c r="L284" i="5"/>
  <c r="M284" i="5"/>
  <c r="N284" i="5"/>
  <c r="O284" i="5"/>
  <c r="C27" i="2"/>
  <c r="F45" i="3"/>
  <c r="M15" i="3"/>
  <c r="K15" i="3"/>
  <c r="AO66" i="2"/>
  <c r="AN66" i="2"/>
  <c r="AM66" i="2"/>
  <c r="AL66" i="2"/>
  <c r="AK66" i="2"/>
  <c r="AJ66" i="2"/>
  <c r="AJ65" i="2"/>
  <c r="AK65" i="2" s="1"/>
  <c r="AL65" i="2" s="1"/>
  <c r="AM65" i="2" s="1"/>
  <c r="AN65" i="2" s="1"/>
  <c r="AO65" i="2" s="1"/>
  <c r="AO62" i="2"/>
  <c r="AN62" i="2"/>
  <c r="AM62" i="2"/>
  <c r="AL62" i="2"/>
  <c r="AK62" i="2"/>
  <c r="AJ62" i="2"/>
  <c r="AJ61" i="2"/>
  <c r="AJ60" i="2"/>
  <c r="AK60" i="2" s="1"/>
  <c r="AL60" i="2" s="1"/>
  <c r="AM60" i="2" s="1"/>
  <c r="AN60" i="2" s="1"/>
  <c r="AO60" i="2" s="1"/>
  <c r="AN56" i="2"/>
  <c r="AN55" i="2"/>
  <c r="AN57" i="2" s="1"/>
  <c r="AO55" i="2" s="1"/>
  <c r="AJ57" i="2"/>
  <c r="AK55" i="2" s="1"/>
  <c r="S45" i="9"/>
  <c r="O38" i="2"/>
  <c r="N38" i="2"/>
  <c r="M38" i="2"/>
  <c r="L38" i="2"/>
  <c r="K38" i="2"/>
  <c r="J38" i="2"/>
  <c r="O37" i="2"/>
  <c r="N37" i="2"/>
  <c r="M37" i="2"/>
  <c r="L37" i="2"/>
  <c r="K37" i="2"/>
  <c r="J37" i="2"/>
  <c r="AJ49" i="2"/>
  <c r="AJ42" i="2"/>
  <c r="J34" i="2" s="1"/>
  <c r="AN31" i="2"/>
  <c r="AM31" i="2"/>
  <c r="AL31" i="2"/>
  <c r="AK31" i="2"/>
  <c r="AJ31" i="2"/>
  <c r="AI31" i="2"/>
  <c r="AH31" i="2"/>
  <c r="AN30" i="2"/>
  <c r="AM30" i="2"/>
  <c r="AL30" i="2"/>
  <c r="AK30" i="2"/>
  <c r="AJ30" i="2"/>
  <c r="AI30" i="2"/>
  <c r="AH30" i="2"/>
  <c r="R295" i="5"/>
  <c r="Q295" i="5"/>
  <c r="P295" i="5"/>
  <c r="N295" i="5"/>
  <c r="M295" i="5"/>
  <c r="R272" i="5"/>
  <c r="Q272" i="5"/>
  <c r="P272" i="5"/>
  <c r="N272" i="5"/>
  <c r="M272" i="5"/>
  <c r="O222" i="5"/>
  <c r="D77" i="4"/>
  <c r="D74" i="4"/>
  <c r="D68" i="4"/>
  <c r="AJ47" i="2"/>
  <c r="AK47" i="2" s="1"/>
  <c r="AL47" i="2" s="1"/>
  <c r="AM47" i="2" s="1"/>
  <c r="AN47" i="2" s="1"/>
  <c r="AO47" i="2" s="1"/>
  <c r="AJ38" i="2"/>
  <c r="AK38" i="2" s="1"/>
  <c r="AL38" i="2" s="1"/>
  <c r="AM38" i="2" s="1"/>
  <c r="AN38" i="2" s="1"/>
  <c r="AO38" i="2" s="1"/>
  <c r="AJ34" i="2"/>
  <c r="AK34" i="2" s="1"/>
  <c r="AL34" i="2" s="1"/>
  <c r="AM34" i="2" s="1"/>
  <c r="AN34" i="2" s="1"/>
  <c r="AO34" i="2" s="1"/>
  <c r="AI29" i="2"/>
  <c r="AJ29" i="2" s="1"/>
  <c r="AK29" i="2" s="1"/>
  <c r="AL29" i="2" s="1"/>
  <c r="AM29" i="2" s="1"/>
  <c r="AN29" i="2" s="1"/>
  <c r="R32" i="9"/>
  <c r="Q32" i="9"/>
  <c r="P32" i="9"/>
  <c r="O32" i="9"/>
  <c r="N32" i="9"/>
  <c r="M32" i="9"/>
  <c r="L32" i="9"/>
  <c r="M30" i="9"/>
  <c r="N30" i="9" s="1"/>
  <c r="O30" i="9" s="1"/>
  <c r="P30" i="9" s="1"/>
  <c r="Q30" i="9" s="1"/>
  <c r="R30" i="9" s="1"/>
  <c r="L298" i="5"/>
  <c r="S10" i="9"/>
  <c r="R10" i="9"/>
  <c r="Q10" i="9"/>
  <c r="P10" i="9"/>
  <c r="O10" i="9"/>
  <c r="N10" i="9"/>
  <c r="M10" i="9"/>
  <c r="AK56" i="2" l="1"/>
  <c r="AK57" i="2" s="1"/>
  <c r="AO56" i="2"/>
  <c r="AO57" i="2" s="1"/>
  <c r="AJ48" i="2"/>
  <c r="N298" i="5"/>
  <c r="O69" i="5"/>
  <c r="O217" i="5"/>
  <c r="P217" i="5"/>
  <c r="Q217" i="5"/>
  <c r="R217" i="5"/>
  <c r="L213" i="5"/>
  <c r="M213" i="5" s="1"/>
  <c r="N213" i="5" s="1"/>
  <c r="O213" i="5" s="1"/>
  <c r="P213" i="5" s="1"/>
  <c r="Q213" i="5" s="1"/>
  <c r="R213" i="5" s="1"/>
  <c r="N77" i="4"/>
  <c r="O226" i="5" s="1"/>
  <c r="O227" i="5" s="1"/>
  <c r="O77" i="4"/>
  <c r="P226" i="5" s="1"/>
  <c r="P77" i="4"/>
  <c r="Q226" i="5" s="1"/>
  <c r="Q77" i="4"/>
  <c r="R226" i="5" s="1"/>
  <c r="G41" i="3"/>
  <c r="O224" i="5" s="1"/>
  <c r="O229" i="5" s="1"/>
  <c r="O272" i="5" s="1"/>
  <c r="O295" i="5" s="1"/>
  <c r="Q29" i="4"/>
  <c r="M298" i="5"/>
  <c r="K33" i="2"/>
  <c r="L33" i="2" s="1"/>
  <c r="M33" i="2" s="1"/>
  <c r="N33" i="2" s="1"/>
  <c r="O33" i="2" s="1"/>
  <c r="O298" i="5" l="1"/>
  <c r="O299" i="5"/>
  <c r="O70" i="5"/>
  <c r="O300" i="5"/>
  <c r="O71" i="5"/>
  <c r="O221" i="5"/>
  <c r="O240" i="5" s="1"/>
  <c r="R178" i="5"/>
  <c r="Q178" i="5"/>
  <c r="P178" i="5"/>
  <c r="O178" i="5"/>
  <c r="N178" i="5"/>
  <c r="M178" i="5"/>
  <c r="Q10" i="4"/>
  <c r="Q30" i="4"/>
  <c r="O29" i="4"/>
  <c r="N29" i="4"/>
  <c r="M29" i="4"/>
  <c r="L29" i="4"/>
  <c r="N15" i="4"/>
  <c r="O15" i="4"/>
  <c r="M49" i="4"/>
  <c r="N49" i="4" s="1"/>
  <c r="O49" i="4" s="1"/>
  <c r="P49" i="4" s="1"/>
  <c r="L49" i="4"/>
  <c r="M34" i="4"/>
  <c r="N34" i="4" s="1"/>
  <c r="O34" i="4" s="1"/>
  <c r="P34" i="4" s="1"/>
  <c r="R149" i="5"/>
  <c r="Q149" i="5"/>
  <c r="P149" i="5"/>
  <c r="O149" i="5"/>
  <c r="N149" i="5"/>
  <c r="M149" i="5"/>
  <c r="R252" i="5"/>
  <c r="R199" i="5"/>
  <c r="R167" i="5"/>
  <c r="R107" i="5"/>
  <c r="R106" i="5"/>
  <c r="R105" i="5"/>
  <c r="R104" i="5"/>
  <c r="R103" i="5"/>
  <c r="R102" i="5"/>
  <c r="R101" i="5"/>
  <c r="R87" i="5"/>
  <c r="Q63" i="4"/>
  <c r="L58" i="4"/>
  <c r="M58" i="4" s="1"/>
  <c r="N58" i="4" s="1"/>
  <c r="O58" i="4" s="1"/>
  <c r="P58" i="4" s="1"/>
  <c r="M57" i="4"/>
  <c r="N57" i="4" s="1"/>
  <c r="O57" i="4" s="1"/>
  <c r="P57" i="4" s="1"/>
  <c r="L57" i="4"/>
  <c r="M56" i="4"/>
  <c r="N56" i="4" s="1"/>
  <c r="O56" i="4" s="1"/>
  <c r="P56" i="4" s="1"/>
  <c r="L56" i="4"/>
  <c r="M55" i="4"/>
  <c r="N55" i="4" s="1"/>
  <c r="O55" i="4" s="1"/>
  <c r="P55" i="4" s="1"/>
  <c r="L55" i="4"/>
  <c r="M54" i="4"/>
  <c r="N54" i="4" s="1"/>
  <c r="O54" i="4" s="1"/>
  <c r="P54" i="4" s="1"/>
  <c r="L54" i="4"/>
  <c r="M53" i="4"/>
  <c r="N53" i="4" s="1"/>
  <c r="O53" i="4" s="1"/>
  <c r="P53" i="4" s="1"/>
  <c r="L53" i="4"/>
  <c r="M52" i="4"/>
  <c r="N52" i="4" s="1"/>
  <c r="O52" i="4" s="1"/>
  <c r="P52" i="4" s="1"/>
  <c r="L52" i="4"/>
  <c r="M37" i="4"/>
  <c r="N37" i="4" s="1"/>
  <c r="O37" i="4" s="1"/>
  <c r="P37" i="4" s="1"/>
  <c r="M47" i="4"/>
  <c r="N47" i="4" s="1"/>
  <c r="O47" i="4" s="1"/>
  <c r="P47" i="4" s="1"/>
  <c r="L47" i="4"/>
  <c r="M45" i="4"/>
  <c r="N45" i="4" s="1"/>
  <c r="O45" i="4" s="1"/>
  <c r="P45" i="4" s="1"/>
  <c r="L45" i="4"/>
  <c r="M43" i="4"/>
  <c r="N43" i="4" s="1"/>
  <c r="O43" i="4" s="1"/>
  <c r="P43" i="4" s="1"/>
  <c r="L43" i="4"/>
  <c r="L41" i="4"/>
  <c r="M41" i="4" s="1"/>
  <c r="N41" i="4" s="1"/>
  <c r="O41" i="4" s="1"/>
  <c r="P41" i="4" s="1"/>
  <c r="M39" i="4"/>
  <c r="N39" i="4" s="1"/>
  <c r="O39" i="4" s="1"/>
  <c r="P39" i="4" s="1"/>
  <c r="L39" i="4"/>
  <c r="L37" i="4"/>
  <c r="Q35" i="4"/>
  <c r="Q33" i="4"/>
  <c r="Q32" i="4"/>
  <c r="Q15" i="4"/>
  <c r="Q18" i="4"/>
  <c r="Q16" i="4"/>
  <c r="Q13" i="4"/>
  <c r="Q11" i="4"/>
  <c r="Q4" i="4"/>
  <c r="O297" i="5"/>
  <c r="Q252" i="5"/>
  <c r="P252" i="5"/>
  <c r="O252" i="5"/>
  <c r="N252" i="5"/>
  <c r="P220" i="5" l="1"/>
  <c r="O248" i="5"/>
  <c r="P297" i="5"/>
  <c r="Q27" i="4"/>
  <c r="R86" i="5" s="1"/>
  <c r="Q28" i="4"/>
  <c r="P27" i="4"/>
  <c r="Q86" i="5" s="1"/>
  <c r="M163" i="5"/>
  <c r="M203" i="5"/>
  <c r="M185" i="5"/>
  <c r="M236" i="5"/>
  <c r="M60" i="5" s="1"/>
  <c r="L236" i="5"/>
  <c r="L60" i="5" s="1"/>
  <c r="L72" i="5" s="1"/>
  <c r="Q199" i="5"/>
  <c r="P199" i="5"/>
  <c r="O199" i="5"/>
  <c r="N199" i="5"/>
  <c r="M199" i="5"/>
  <c r="Q167" i="5"/>
  <c r="P167" i="5"/>
  <c r="O167" i="5"/>
  <c r="N167" i="5"/>
  <c r="M167" i="5"/>
  <c r="M135" i="5"/>
  <c r="L133" i="5"/>
  <c r="M131" i="5" s="1"/>
  <c r="J49" i="4"/>
  <c r="I49" i="4"/>
  <c r="H49" i="4"/>
  <c r="G49" i="4"/>
  <c r="Q107" i="5"/>
  <c r="L107" i="5"/>
  <c r="Q106" i="5"/>
  <c r="L106" i="5"/>
  <c r="Q105" i="5"/>
  <c r="L105" i="5"/>
  <c r="Q104" i="5"/>
  <c r="L104" i="5"/>
  <c r="Q103" i="5"/>
  <c r="M103" i="5"/>
  <c r="L103" i="5"/>
  <c r="Q102" i="5"/>
  <c r="L102" i="5"/>
  <c r="Q101" i="5"/>
  <c r="L101" i="5"/>
  <c r="H56" i="4"/>
  <c r="I105" i="5" s="1"/>
  <c r="I56" i="4"/>
  <c r="J105" i="5" s="1"/>
  <c r="J56" i="4"/>
  <c r="K105" i="5" s="1"/>
  <c r="P105" i="5"/>
  <c r="K99" i="5"/>
  <c r="J99" i="5"/>
  <c r="I99" i="5"/>
  <c r="K98" i="5"/>
  <c r="J98" i="5"/>
  <c r="I98" i="5"/>
  <c r="Q87" i="5"/>
  <c r="L87" i="5"/>
  <c r="K84" i="5"/>
  <c r="J84" i="5"/>
  <c r="I84" i="5"/>
  <c r="L75" i="5"/>
  <c r="K56" i="5"/>
  <c r="J56" i="5"/>
  <c r="I56" i="5"/>
  <c r="K55" i="5"/>
  <c r="J55" i="5"/>
  <c r="I55" i="5"/>
  <c r="K51" i="5"/>
  <c r="J51" i="5"/>
  <c r="I51" i="5"/>
  <c r="K50" i="5"/>
  <c r="J50" i="5"/>
  <c r="K49" i="5"/>
  <c r="J49" i="5"/>
  <c r="I49" i="5"/>
  <c r="K48" i="5"/>
  <c r="J48" i="5"/>
  <c r="I48" i="5"/>
  <c r="K47" i="5"/>
  <c r="J47" i="5"/>
  <c r="I47" i="5"/>
  <c r="J47" i="4"/>
  <c r="I47" i="4"/>
  <c r="H47" i="4"/>
  <c r="G47" i="4"/>
  <c r="J45" i="4"/>
  <c r="I45" i="4"/>
  <c r="H45" i="4"/>
  <c r="G45" i="4"/>
  <c r="G39" i="4"/>
  <c r="H39" i="4"/>
  <c r="I39" i="4"/>
  <c r="J39" i="4"/>
  <c r="G37" i="4"/>
  <c r="H37" i="4"/>
  <c r="I37" i="4"/>
  <c r="J37" i="4"/>
  <c r="K7" i="5"/>
  <c r="J6" i="4" s="1"/>
  <c r="K15" i="5"/>
  <c r="J15" i="4" s="1"/>
  <c r="K12" i="5"/>
  <c r="J10" i="4" s="1"/>
  <c r="P107" i="5"/>
  <c r="P106" i="5"/>
  <c r="P104" i="5"/>
  <c r="P103" i="5"/>
  <c r="P102" i="5"/>
  <c r="P101" i="5"/>
  <c r="P87" i="5"/>
  <c r="G43" i="4"/>
  <c r="H43" i="4"/>
  <c r="I87" i="5" s="1"/>
  <c r="I43" i="4"/>
  <c r="J87" i="5" s="1"/>
  <c r="J43" i="4"/>
  <c r="K87" i="5" s="1"/>
  <c r="G41" i="4"/>
  <c r="H41" i="4"/>
  <c r="I41" i="4"/>
  <c r="J41" i="4"/>
  <c r="K32" i="4"/>
  <c r="L32" i="4"/>
  <c r="M32" i="4"/>
  <c r="N32" i="4"/>
  <c r="O32" i="4"/>
  <c r="P32" i="4"/>
  <c r="K27" i="4"/>
  <c r="L86" i="5" s="1"/>
  <c r="K22" i="4"/>
  <c r="K33" i="4"/>
  <c r="L33" i="4"/>
  <c r="M33" i="4"/>
  <c r="N33" i="4"/>
  <c r="O33" i="4"/>
  <c r="P33" i="4"/>
  <c r="K35" i="4"/>
  <c r="L35" i="4"/>
  <c r="M35" i="4"/>
  <c r="N35" i="4"/>
  <c r="O35" i="4"/>
  <c r="P35" i="4"/>
  <c r="K30" i="4"/>
  <c r="P30" i="4"/>
  <c r="K28" i="4"/>
  <c r="P28" i="4"/>
  <c r="L28" i="4"/>
  <c r="K25" i="4"/>
  <c r="K23" i="4"/>
  <c r="L22" i="4"/>
  <c r="K15" i="4"/>
  <c r="L14" i="5" s="1"/>
  <c r="L15" i="4"/>
  <c r="M15" i="4"/>
  <c r="P15" i="4"/>
  <c r="K10" i="4"/>
  <c r="L11" i="5" s="1"/>
  <c r="L10" i="4"/>
  <c r="M10" i="4"/>
  <c r="N10" i="4"/>
  <c r="O10" i="4"/>
  <c r="K18" i="4"/>
  <c r="L18" i="4"/>
  <c r="M18" i="4"/>
  <c r="N18" i="4"/>
  <c r="O18" i="4"/>
  <c r="P18" i="4"/>
  <c r="K16" i="4"/>
  <c r="L16" i="4"/>
  <c r="M16" i="4"/>
  <c r="N16" i="4"/>
  <c r="O16" i="4"/>
  <c r="P16" i="4"/>
  <c r="L13" i="4"/>
  <c r="K13" i="4"/>
  <c r="M13" i="4"/>
  <c r="N13" i="4"/>
  <c r="O13" i="4"/>
  <c r="P13" i="4"/>
  <c r="L11" i="4"/>
  <c r="K11" i="4"/>
  <c r="M11" i="4"/>
  <c r="N11" i="4"/>
  <c r="O11" i="4"/>
  <c r="P11" i="4"/>
  <c r="G32" i="4"/>
  <c r="H32" i="4"/>
  <c r="I32" i="4"/>
  <c r="J32" i="4"/>
  <c r="G27" i="4"/>
  <c r="H27" i="4"/>
  <c r="I86" i="5" s="1"/>
  <c r="I27" i="4"/>
  <c r="J86" i="5" s="1"/>
  <c r="J27" i="4"/>
  <c r="K86" i="5" s="1"/>
  <c r="G22" i="4"/>
  <c r="H22" i="4"/>
  <c r="I22" i="4"/>
  <c r="J22" i="4"/>
  <c r="H15" i="5"/>
  <c r="G15" i="4" s="1"/>
  <c r="H12" i="5"/>
  <c r="G10" i="4" s="1"/>
  <c r="I12" i="5"/>
  <c r="H10" i="4" s="1"/>
  <c r="I15" i="5"/>
  <c r="H15" i="4" s="1"/>
  <c r="H39" i="5"/>
  <c r="H23" i="5"/>
  <c r="H29" i="5" s="1"/>
  <c r="H33" i="5" s="1"/>
  <c r="H36" i="5" s="1"/>
  <c r="H7" i="5"/>
  <c r="G6" i="4" s="1"/>
  <c r="I7" i="5"/>
  <c r="H6" i="4" s="1"/>
  <c r="D71" i="4"/>
  <c r="K63" i="4"/>
  <c r="L63" i="4" s="1"/>
  <c r="M63" i="4" s="1"/>
  <c r="N63" i="4" s="1"/>
  <c r="O63" i="4" s="1"/>
  <c r="P63" i="4" s="1"/>
  <c r="J58" i="4"/>
  <c r="K107" i="5" s="1"/>
  <c r="I58" i="4"/>
  <c r="J107" i="5" s="1"/>
  <c r="H58" i="4"/>
  <c r="I107" i="5" s="1"/>
  <c r="J57" i="4"/>
  <c r="K106" i="5" s="1"/>
  <c r="I57" i="4"/>
  <c r="J106" i="5" s="1"/>
  <c r="H57" i="4"/>
  <c r="I106" i="5" s="1"/>
  <c r="J55" i="4"/>
  <c r="K104" i="5" s="1"/>
  <c r="I55" i="4"/>
  <c r="J104" i="5" s="1"/>
  <c r="H55" i="4"/>
  <c r="I104" i="5" s="1"/>
  <c r="J54" i="4"/>
  <c r="K103" i="5" s="1"/>
  <c r="I54" i="4"/>
  <c r="J103" i="5" s="1"/>
  <c r="H54" i="4"/>
  <c r="I103" i="5" s="1"/>
  <c r="I53" i="4"/>
  <c r="J102" i="5" s="1"/>
  <c r="J53" i="4"/>
  <c r="K102" i="5" s="1"/>
  <c r="H53" i="4"/>
  <c r="I102" i="5" s="1"/>
  <c r="H52" i="4"/>
  <c r="I101" i="5" s="1"/>
  <c r="J52" i="4"/>
  <c r="K101" i="5" s="1"/>
  <c r="I52" i="4"/>
  <c r="J101" i="5" s="1"/>
  <c r="K39" i="5"/>
  <c r="J39" i="5"/>
  <c r="I39" i="5"/>
  <c r="K23" i="5"/>
  <c r="K29" i="5" s="1"/>
  <c r="K33" i="5" s="1"/>
  <c r="K36" i="5" s="1"/>
  <c r="K46" i="5" s="1"/>
  <c r="J23" i="5"/>
  <c r="J29" i="5" s="1"/>
  <c r="J33" i="5" s="1"/>
  <c r="J36" i="5" s="1"/>
  <c r="J46" i="5" s="1"/>
  <c r="I23" i="5"/>
  <c r="I29" i="5" s="1"/>
  <c r="I33" i="5" s="1"/>
  <c r="I36" i="5" s="1"/>
  <c r="I46" i="5" s="1"/>
  <c r="B299" i="5"/>
  <c r="N299" i="5" s="1"/>
  <c r="N278" i="5"/>
  <c r="O278" i="5" s="1"/>
  <c r="P278" i="5" s="1"/>
  <c r="Q278" i="5" s="1"/>
  <c r="R278" i="5" s="1"/>
  <c r="L262" i="5"/>
  <c r="M262" i="5" s="1"/>
  <c r="N262" i="5" s="1"/>
  <c r="O262" i="5" s="1"/>
  <c r="P262" i="5" s="1"/>
  <c r="Q262" i="5" s="1"/>
  <c r="R262" i="5" s="1"/>
  <c r="L233" i="5"/>
  <c r="M233" i="5" s="1"/>
  <c r="N233" i="5" s="1"/>
  <c r="O233" i="5" s="1"/>
  <c r="P233" i="5" s="1"/>
  <c r="Q233" i="5" s="1"/>
  <c r="R233" i="5" s="1"/>
  <c r="L175" i="5"/>
  <c r="M175" i="5" s="1"/>
  <c r="N175" i="5" s="1"/>
  <c r="O175" i="5" s="1"/>
  <c r="P175" i="5" s="1"/>
  <c r="Q175" i="5" s="1"/>
  <c r="R175" i="5" s="1"/>
  <c r="L195" i="5"/>
  <c r="M195" i="5" s="1"/>
  <c r="N195" i="5" s="1"/>
  <c r="O195" i="5" s="1"/>
  <c r="P195" i="5" s="1"/>
  <c r="Q195" i="5" s="1"/>
  <c r="R195" i="5" s="1"/>
  <c r="L142" i="5"/>
  <c r="M142" i="5" s="1"/>
  <c r="N142" i="5" s="1"/>
  <c r="O142" i="5" s="1"/>
  <c r="P142" i="5" s="1"/>
  <c r="Q142" i="5" s="1"/>
  <c r="R142" i="5" s="1"/>
  <c r="L95" i="5"/>
  <c r="M95" i="5" s="1"/>
  <c r="N95" i="5" s="1"/>
  <c r="O95" i="5" s="1"/>
  <c r="P95" i="5" s="1"/>
  <c r="Q95" i="5" s="1"/>
  <c r="R95" i="5" s="1"/>
  <c r="L82" i="5"/>
  <c r="M82" i="5" s="1"/>
  <c r="N82" i="5" s="1"/>
  <c r="O82" i="5" s="1"/>
  <c r="P82" i="5" s="1"/>
  <c r="Q82" i="5" s="1"/>
  <c r="R82" i="5" s="1"/>
  <c r="L43" i="5"/>
  <c r="M43" i="5" s="1"/>
  <c r="N43" i="5" s="1"/>
  <c r="O43" i="5" s="1"/>
  <c r="P43" i="5" s="1"/>
  <c r="Q43" i="5" s="1"/>
  <c r="R43" i="5" s="1"/>
  <c r="L19" i="5"/>
  <c r="M19" i="5" s="1"/>
  <c r="N19" i="5" s="1"/>
  <c r="O19" i="5" s="1"/>
  <c r="P19" i="5" s="1"/>
  <c r="Q19" i="5" s="1"/>
  <c r="R19" i="5" s="1"/>
  <c r="L128" i="5"/>
  <c r="M128" i="5" s="1"/>
  <c r="N128" i="5" s="1"/>
  <c r="O128" i="5" s="1"/>
  <c r="P128" i="5" s="1"/>
  <c r="Q128" i="5" s="1"/>
  <c r="R128" i="5" s="1"/>
  <c r="K4" i="4"/>
  <c r="L4" i="4" s="1"/>
  <c r="M4" i="4" s="1"/>
  <c r="N4" i="4" s="1"/>
  <c r="O4" i="4" s="1"/>
  <c r="P4" i="4" s="1"/>
  <c r="I113" i="5" l="1"/>
  <c r="I112" i="5"/>
  <c r="I117" i="5"/>
  <c r="I114" i="5"/>
  <c r="I116" i="5"/>
  <c r="I111" i="5"/>
  <c r="I115" i="5"/>
  <c r="P221" i="5"/>
  <c r="P222" i="5" s="1"/>
  <c r="P227" i="5" s="1"/>
  <c r="P256" i="5" s="1"/>
  <c r="J112" i="5"/>
  <c r="J113" i="5"/>
  <c r="J111" i="5"/>
  <c r="K117" i="5"/>
  <c r="M299" i="5"/>
  <c r="P299" i="5"/>
  <c r="Q297" i="5"/>
  <c r="P298" i="5"/>
  <c r="L68" i="4"/>
  <c r="M159" i="5" s="1"/>
  <c r="Q68" i="4"/>
  <c r="R159" i="5" s="1"/>
  <c r="K74" i="4"/>
  <c r="Q74" i="4"/>
  <c r="L71" i="4"/>
  <c r="M208" i="5" s="1"/>
  <c r="Q71" i="4"/>
  <c r="R208" i="5" s="1"/>
  <c r="L244" i="5"/>
  <c r="L249" i="5" s="1"/>
  <c r="L287" i="5" s="1"/>
  <c r="K112" i="5"/>
  <c r="J117" i="5"/>
  <c r="J114" i="5"/>
  <c r="K114" i="5"/>
  <c r="M133" i="5"/>
  <c r="O22" i="3"/>
  <c r="J115" i="5"/>
  <c r="J116" i="5"/>
  <c r="K116" i="5"/>
  <c r="K115" i="5"/>
  <c r="L137" i="5"/>
  <c r="L252" i="5" s="1"/>
  <c r="L257" i="5" s="1"/>
  <c r="I52" i="5"/>
  <c r="K113" i="5"/>
  <c r="J90" i="5"/>
  <c r="I90" i="5"/>
  <c r="K90" i="5"/>
  <c r="K111" i="5"/>
  <c r="K89" i="5"/>
  <c r="J89" i="5"/>
  <c r="M104" i="5"/>
  <c r="M106" i="5"/>
  <c r="N101" i="5"/>
  <c r="N104" i="5"/>
  <c r="N107" i="5"/>
  <c r="O101" i="5"/>
  <c r="O104" i="5"/>
  <c r="O107" i="5"/>
  <c r="N103" i="5"/>
  <c r="N106" i="5"/>
  <c r="O103" i="5"/>
  <c r="O106" i="5"/>
  <c r="M102" i="5"/>
  <c r="M105" i="5"/>
  <c r="N102" i="5"/>
  <c r="N105" i="5"/>
  <c r="O102" i="5"/>
  <c r="O105" i="5"/>
  <c r="M101" i="5"/>
  <c r="M107" i="5"/>
  <c r="I89" i="5"/>
  <c r="K52" i="5"/>
  <c r="M87" i="5"/>
  <c r="N87" i="5"/>
  <c r="O87" i="5"/>
  <c r="I57" i="5"/>
  <c r="J57" i="5"/>
  <c r="J52" i="5"/>
  <c r="K57" i="5"/>
  <c r="M11" i="5"/>
  <c r="N11" i="5" s="1"/>
  <c r="L30" i="4"/>
  <c r="M27" i="4"/>
  <c r="N86" i="5" s="1"/>
  <c r="L23" i="4"/>
  <c r="L27" i="4"/>
  <c r="M86" i="5" s="1"/>
  <c r="M68" i="4"/>
  <c r="N159" i="5" s="1"/>
  <c r="P74" i="4"/>
  <c r="L25" i="4"/>
  <c r="N68" i="4"/>
  <c r="O159" i="5" s="1"/>
  <c r="O68" i="4"/>
  <c r="P159" i="5" s="1"/>
  <c r="P68" i="4"/>
  <c r="Q159" i="5" s="1"/>
  <c r="K68" i="4"/>
  <c r="M71" i="4"/>
  <c r="N208" i="5" s="1"/>
  <c r="N71" i="4"/>
  <c r="O208" i="5" s="1"/>
  <c r="O71" i="4"/>
  <c r="P208" i="5" s="1"/>
  <c r="P71" i="4"/>
  <c r="Q208" i="5" s="1"/>
  <c r="K71" i="4"/>
  <c r="L6" i="5"/>
  <c r="L12" i="5"/>
  <c r="M14" i="5"/>
  <c r="L15" i="5"/>
  <c r="O74" i="4"/>
  <c r="N74" i="4"/>
  <c r="M74" i="4"/>
  <c r="L74" i="4"/>
  <c r="B300" i="5"/>
  <c r="N300" i="5" s="1"/>
  <c r="N190" i="5" l="1"/>
  <c r="AK90" i="2"/>
  <c r="O190" i="5"/>
  <c r="AL90" i="2"/>
  <c r="R190" i="5"/>
  <c r="AO90" i="2"/>
  <c r="M190" i="5"/>
  <c r="AJ90" i="2"/>
  <c r="P190" i="5"/>
  <c r="AM90" i="2"/>
  <c r="Q190" i="5"/>
  <c r="AN90" i="2"/>
  <c r="I120" i="5"/>
  <c r="P248" i="5"/>
  <c r="Q220" i="5"/>
  <c r="J119" i="5"/>
  <c r="K120" i="5"/>
  <c r="J120" i="5"/>
  <c r="R297" i="5"/>
  <c r="Q298" i="5"/>
  <c r="M300" i="5"/>
  <c r="J91" i="5"/>
  <c r="K119" i="5"/>
  <c r="K91" i="5"/>
  <c r="I91" i="5"/>
  <c r="L49" i="5"/>
  <c r="L55" i="5"/>
  <c r="L51" i="5"/>
  <c r="L56" i="5"/>
  <c r="L50" i="5"/>
  <c r="L84" i="5"/>
  <c r="L98" i="5"/>
  <c r="M12" i="5"/>
  <c r="M28" i="4"/>
  <c r="M30" i="4"/>
  <c r="L21" i="5"/>
  <c r="L7" i="5"/>
  <c r="K6" i="4" s="1"/>
  <c r="N14" i="5"/>
  <c r="N6" i="5" s="1"/>
  <c r="M15" i="5"/>
  <c r="O11" i="5"/>
  <c r="N12" i="5"/>
  <c r="M6" i="5"/>
  <c r="B301" i="5"/>
  <c r="N301" i="5" s="1"/>
  <c r="J121" i="5" l="1"/>
  <c r="L32" i="5"/>
  <c r="L28" i="5"/>
  <c r="Q221" i="5"/>
  <c r="Q222" i="5" s="1"/>
  <c r="K121" i="5"/>
  <c r="M301" i="5"/>
  <c r="N49" i="5"/>
  <c r="N55" i="5"/>
  <c r="N51" i="5"/>
  <c r="N56" i="5"/>
  <c r="N50" i="5"/>
  <c r="M49" i="5"/>
  <c r="M55" i="5"/>
  <c r="M51" i="5"/>
  <c r="M56" i="5"/>
  <c r="M50" i="5"/>
  <c r="L57" i="5"/>
  <c r="L117" i="5"/>
  <c r="L115" i="5"/>
  <c r="L114" i="5"/>
  <c r="L111" i="5"/>
  <c r="L116" i="5"/>
  <c r="N98" i="5"/>
  <c r="N84" i="5"/>
  <c r="L90" i="5"/>
  <c r="L89" i="5"/>
  <c r="M98" i="5"/>
  <c r="M84" i="5"/>
  <c r="N28" i="4"/>
  <c r="N30" i="4"/>
  <c r="N27" i="4"/>
  <c r="O86" i="5" s="1"/>
  <c r="N7" i="5"/>
  <c r="M6" i="4" s="1"/>
  <c r="N21" i="5"/>
  <c r="O14" i="5"/>
  <c r="O6" i="5" s="1"/>
  <c r="N15" i="5"/>
  <c r="M21" i="5"/>
  <c r="M7" i="5"/>
  <c r="L6" i="4" s="1"/>
  <c r="P11" i="5"/>
  <c r="O12" i="5"/>
  <c r="L26" i="5"/>
  <c r="L25" i="5"/>
  <c r="L22" i="5"/>
  <c r="L48" i="5" s="1"/>
  <c r="B302" i="5"/>
  <c r="M302" i="5" s="1"/>
  <c r="L31" i="9" l="1"/>
  <c r="Q248" i="5"/>
  <c r="R220" i="5"/>
  <c r="Q227" i="5"/>
  <c r="Q256" i="5" s="1"/>
  <c r="K123" i="5"/>
  <c r="J123" i="5"/>
  <c r="L91" i="5"/>
  <c r="O49" i="5"/>
  <c r="O55" i="5"/>
  <c r="O51" i="5"/>
  <c r="O56" i="5"/>
  <c r="O50" i="5"/>
  <c r="M57" i="5"/>
  <c r="M147" i="5" s="1"/>
  <c r="N57" i="5"/>
  <c r="N147" i="5" s="1"/>
  <c r="M114" i="5"/>
  <c r="M116" i="5"/>
  <c r="M115" i="5"/>
  <c r="M117" i="5"/>
  <c r="M111" i="5"/>
  <c r="N115" i="5"/>
  <c r="N114" i="5"/>
  <c r="N117" i="5"/>
  <c r="N111" i="5"/>
  <c r="N116" i="5"/>
  <c r="N89" i="5"/>
  <c r="N90" i="5"/>
  <c r="M89" i="5"/>
  <c r="M90" i="5"/>
  <c r="O98" i="5"/>
  <c r="O84" i="5"/>
  <c r="L23" i="5"/>
  <c r="L29" i="5" s="1"/>
  <c r="L30" i="5" s="1"/>
  <c r="L99" i="5"/>
  <c r="O30" i="4"/>
  <c r="O27" i="4"/>
  <c r="P86" i="5" s="1"/>
  <c r="O28" i="4"/>
  <c r="Q11" i="5"/>
  <c r="R11" i="5" s="1"/>
  <c r="P12" i="5"/>
  <c r="M26" i="5"/>
  <c r="M25" i="5"/>
  <c r="M28" i="5"/>
  <c r="M22" i="5"/>
  <c r="M48" i="5" s="1"/>
  <c r="P14" i="5"/>
  <c r="P6" i="5" s="1"/>
  <c r="O15" i="5"/>
  <c r="N26" i="5"/>
  <c r="N28" i="5"/>
  <c r="N25" i="5"/>
  <c r="O21" i="5"/>
  <c r="O7" i="5"/>
  <c r="N6" i="4" s="1"/>
  <c r="B303" i="5"/>
  <c r="M31" i="9" l="1"/>
  <c r="N31" i="9"/>
  <c r="R221" i="5"/>
  <c r="R222" i="5" s="1"/>
  <c r="R248" i="5" s="1"/>
  <c r="R12" i="5"/>
  <c r="L33" i="5"/>
  <c r="L35" i="5" s="1"/>
  <c r="L36" i="5" s="1"/>
  <c r="L46" i="5" s="1"/>
  <c r="L38" i="5"/>
  <c r="P49" i="5"/>
  <c r="P56" i="5"/>
  <c r="P50" i="5"/>
  <c r="P51" i="5"/>
  <c r="P55" i="5"/>
  <c r="O57" i="5"/>
  <c r="O147" i="5" s="1"/>
  <c r="L113" i="5"/>
  <c r="L119" i="5" s="1"/>
  <c r="L112" i="5"/>
  <c r="L120" i="5" s="1"/>
  <c r="O116" i="5"/>
  <c r="O115" i="5"/>
  <c r="O111" i="5"/>
  <c r="O117" i="5"/>
  <c r="O114" i="5"/>
  <c r="M91" i="5"/>
  <c r="N91" i="5"/>
  <c r="P98" i="5"/>
  <c r="P84" i="5"/>
  <c r="M23" i="5"/>
  <c r="M29" i="5" s="1"/>
  <c r="M99" i="5"/>
  <c r="O89" i="5"/>
  <c r="O90" i="5"/>
  <c r="P7" i="5"/>
  <c r="O6" i="4" s="1"/>
  <c r="P21" i="5"/>
  <c r="O28" i="5"/>
  <c r="O26" i="5"/>
  <c r="O25" i="5"/>
  <c r="Q14" i="5"/>
  <c r="P15" i="5"/>
  <c r="Q12" i="5"/>
  <c r="M38" i="5" l="1"/>
  <c r="M283" i="5" s="1"/>
  <c r="M285" i="5" s="1"/>
  <c r="M292" i="5" s="1"/>
  <c r="AJ39" i="2"/>
  <c r="J35" i="2" s="1"/>
  <c r="M30" i="5"/>
  <c r="O31" i="9"/>
  <c r="R227" i="5"/>
  <c r="R256" i="5" s="1"/>
  <c r="Q15" i="5"/>
  <c r="R14" i="5"/>
  <c r="P57" i="5"/>
  <c r="P147" i="5" s="1"/>
  <c r="L39" i="5"/>
  <c r="L283" i="5"/>
  <c r="L285" i="5" s="1"/>
  <c r="L121" i="5"/>
  <c r="L123" i="5" s="1"/>
  <c r="L47" i="5" s="1"/>
  <c r="L52" i="5" s="1"/>
  <c r="P114" i="5"/>
  <c r="P116" i="5"/>
  <c r="P117" i="5"/>
  <c r="P115" i="5"/>
  <c r="P111" i="5"/>
  <c r="M113" i="5"/>
  <c r="M119" i="5" s="1"/>
  <c r="M112" i="5"/>
  <c r="M120" i="5" s="1"/>
  <c r="O91" i="5"/>
  <c r="P89" i="5"/>
  <c r="P90" i="5"/>
  <c r="Q6" i="5"/>
  <c r="Q21" i="5" s="1"/>
  <c r="P28" i="5"/>
  <c r="P25" i="5"/>
  <c r="P26" i="5"/>
  <c r="P31" i="9" l="1"/>
  <c r="R15" i="5"/>
  <c r="R6" i="5"/>
  <c r="Q7" i="5"/>
  <c r="P6" i="4" s="1"/>
  <c r="Q49" i="5"/>
  <c r="Q56" i="5"/>
  <c r="Q50" i="5"/>
  <c r="Q55" i="5"/>
  <c r="Q51" i="5"/>
  <c r="L76" i="5"/>
  <c r="L77" i="5" s="1"/>
  <c r="M121" i="5"/>
  <c r="Q98" i="5"/>
  <c r="Q84" i="5"/>
  <c r="P91" i="5"/>
  <c r="Q25" i="5"/>
  <c r="Q28" i="5"/>
  <c r="Q26" i="5"/>
  <c r="J15" i="5"/>
  <c r="I15" i="4" s="1"/>
  <c r="J12" i="5"/>
  <c r="I10" i="4" s="1"/>
  <c r="J7" i="5"/>
  <c r="I6" i="4" s="1"/>
  <c r="L4" i="5"/>
  <c r="M4" i="5" s="1"/>
  <c r="N4" i="5" s="1"/>
  <c r="O4" i="5" s="1"/>
  <c r="P4" i="5" s="1"/>
  <c r="Q4" i="5" s="1"/>
  <c r="R4" i="5" s="1"/>
  <c r="Q31" i="9" l="1"/>
  <c r="R7" i="5"/>
  <c r="Q6" i="4" s="1"/>
  <c r="R84" i="5"/>
  <c r="R21" i="5"/>
  <c r="R56" i="5"/>
  <c r="R55" i="5"/>
  <c r="R51" i="5"/>
  <c r="R50" i="5"/>
  <c r="R49" i="5"/>
  <c r="R98" i="5"/>
  <c r="Q57" i="5"/>
  <c r="Q147" i="5" s="1"/>
  <c r="M75" i="5"/>
  <c r="M145" i="5" s="1"/>
  <c r="L288" i="5"/>
  <c r="L289" i="5" s="1"/>
  <c r="M123" i="5"/>
  <c r="M47" i="5" s="1"/>
  <c r="L241" i="5"/>
  <c r="Q117" i="5"/>
  <c r="Q111" i="5"/>
  <c r="Q114" i="5"/>
  <c r="Q116" i="5"/>
  <c r="Q115" i="5"/>
  <c r="Q89" i="5"/>
  <c r="Q90" i="5"/>
  <c r="G36" i="3"/>
  <c r="C38" i="3"/>
  <c r="G38" i="3" s="1"/>
  <c r="C37" i="3"/>
  <c r="G37" i="3" s="1"/>
  <c r="C36" i="3"/>
  <c r="G10" i="3"/>
  <c r="G9" i="3"/>
  <c r="G8" i="3"/>
  <c r="F11" i="3"/>
  <c r="C39" i="3" s="1"/>
  <c r="N9" i="3"/>
  <c r="C8" i="3"/>
  <c r="C18" i="3"/>
  <c r="E13" i="2" s="1"/>
  <c r="C15" i="3"/>
  <c r="C24" i="3"/>
  <c r="G45" i="3"/>
  <c r="H45" i="3" s="1"/>
  <c r="I45" i="3" s="1"/>
  <c r="J45" i="3" s="1"/>
  <c r="K45" i="3" s="1"/>
  <c r="R23" i="3"/>
  <c r="Q23" i="3" l="1"/>
  <c r="M137" i="5" s="1"/>
  <c r="M252" i="5" s="1"/>
  <c r="M204" i="5"/>
  <c r="M63" i="5" s="1"/>
  <c r="M186" i="5"/>
  <c r="M61" i="5"/>
  <c r="O24" i="3"/>
  <c r="F12" i="3"/>
  <c r="N8" i="3"/>
  <c r="M265" i="5"/>
  <c r="M267" i="5" s="1"/>
  <c r="N265" i="5" s="1"/>
  <c r="N267" i="5" s="1"/>
  <c r="O265" i="5" s="1"/>
  <c r="O267" i="5" s="1"/>
  <c r="P265" i="5" s="1"/>
  <c r="P267" i="5" s="1"/>
  <c r="Q265" i="5" s="1"/>
  <c r="Q267" i="5" s="1"/>
  <c r="R265" i="5" s="1"/>
  <c r="R267" i="5" s="1"/>
  <c r="M65" i="5"/>
  <c r="L299" i="5"/>
  <c r="L300" i="5" s="1"/>
  <c r="L301" i="5" s="1"/>
  <c r="L302" i="5" s="1"/>
  <c r="L303" i="5" s="1"/>
  <c r="O23" i="3"/>
  <c r="G11" i="3"/>
  <c r="R89" i="5"/>
  <c r="R90" i="5"/>
  <c r="R25" i="5"/>
  <c r="R28" i="5"/>
  <c r="R26" i="5"/>
  <c r="R111" i="5"/>
  <c r="R114" i="5"/>
  <c r="R115" i="5"/>
  <c r="R116" i="5"/>
  <c r="R117" i="5"/>
  <c r="R57" i="5"/>
  <c r="R147" i="5" s="1"/>
  <c r="Q91" i="5"/>
  <c r="F13" i="3"/>
  <c r="R31" i="9" l="1"/>
  <c r="O25" i="3"/>
  <c r="N10" i="3" s="1"/>
  <c r="G13" i="3"/>
  <c r="D37" i="3"/>
  <c r="D38" i="3"/>
  <c r="M66" i="5"/>
  <c r="G12" i="3"/>
  <c r="C40" i="3"/>
  <c r="D40" i="3" s="1"/>
  <c r="M148" i="5"/>
  <c r="M239" i="5"/>
  <c r="D36" i="3"/>
  <c r="D39" i="3"/>
  <c r="R91" i="5"/>
  <c r="N11" i="3" l="1"/>
  <c r="M71" i="5"/>
  <c r="M270" i="5"/>
  <c r="M39" i="5"/>
  <c r="M22" i="4"/>
  <c r="N22" i="4"/>
  <c r="O22" i="4"/>
  <c r="P22" i="4"/>
  <c r="Q22" i="4"/>
  <c r="M23" i="4"/>
  <c r="N23" i="4"/>
  <c r="O23" i="4"/>
  <c r="P23" i="4"/>
  <c r="Q23" i="4"/>
  <c r="M24" i="4"/>
  <c r="N24" i="4"/>
  <c r="O24" i="4"/>
  <c r="P24" i="4"/>
  <c r="Q24" i="4"/>
  <c r="M25" i="4"/>
  <c r="N25" i="4"/>
  <c r="O25" i="4"/>
  <c r="P25" i="4"/>
  <c r="Q25" i="4"/>
  <c r="N22" i="5"/>
  <c r="O22" i="5"/>
  <c r="P22" i="5"/>
  <c r="Q22" i="5"/>
  <c r="R22" i="5"/>
  <c r="N23" i="5"/>
  <c r="O23" i="5"/>
  <c r="P23" i="5"/>
  <c r="Q23" i="5"/>
  <c r="R23" i="5"/>
  <c r="N29" i="5"/>
  <c r="O29" i="5"/>
  <c r="P29" i="5"/>
  <c r="Q29" i="5"/>
  <c r="R29" i="5"/>
  <c r="N30" i="5"/>
  <c r="O30" i="5"/>
  <c r="P30" i="5"/>
  <c r="Q30" i="5"/>
  <c r="R30" i="5"/>
  <c r="M32" i="5"/>
  <c r="N32" i="5"/>
  <c r="O32" i="5"/>
  <c r="P32" i="5"/>
  <c r="Q32" i="5"/>
  <c r="R32" i="5"/>
  <c r="M33" i="5"/>
  <c r="N33" i="5"/>
  <c r="O33" i="5"/>
  <c r="P33" i="5"/>
  <c r="Q33" i="5"/>
  <c r="R33" i="5"/>
  <c r="M35" i="5"/>
  <c r="N35" i="5"/>
  <c r="O35" i="5"/>
  <c r="P35" i="5"/>
  <c r="Q35" i="5"/>
  <c r="R35" i="5"/>
  <c r="M36" i="5"/>
  <c r="N36" i="5"/>
  <c r="O36" i="5"/>
  <c r="P36" i="5"/>
  <c r="Q36" i="5"/>
  <c r="R36" i="5"/>
  <c r="N38" i="5"/>
  <c r="O38" i="5"/>
  <c r="P38" i="5"/>
  <c r="Q38" i="5"/>
  <c r="R38" i="5"/>
  <c r="N39" i="5"/>
  <c r="O39" i="5"/>
  <c r="P39" i="5"/>
  <c r="Q39" i="5"/>
  <c r="R39" i="5"/>
  <c r="M46" i="5"/>
  <c r="N46" i="5"/>
  <c r="O46" i="5"/>
  <c r="P46" i="5"/>
  <c r="Q46" i="5"/>
  <c r="R46" i="5"/>
  <c r="N47" i="5"/>
  <c r="O47" i="5"/>
  <c r="P47" i="5"/>
  <c r="Q47" i="5"/>
  <c r="R47" i="5"/>
  <c r="N48" i="5"/>
  <c r="O48" i="5"/>
  <c r="P48" i="5"/>
  <c r="Q48" i="5"/>
  <c r="R48" i="5"/>
  <c r="M52" i="5"/>
  <c r="N52" i="5"/>
  <c r="O52" i="5"/>
  <c r="P52" i="5"/>
  <c r="Q52" i="5"/>
  <c r="R52" i="5"/>
  <c r="M62" i="5"/>
  <c r="N62" i="5"/>
  <c r="O62" i="5"/>
  <c r="P62" i="5"/>
  <c r="Q62" i="5"/>
  <c r="R62" i="5"/>
  <c r="N63" i="5"/>
  <c r="O63" i="5"/>
  <c r="P63" i="5"/>
  <c r="Q63" i="5"/>
  <c r="R63" i="5"/>
  <c r="M64" i="5"/>
  <c r="N64" i="5"/>
  <c r="O64" i="5"/>
  <c r="P64" i="5"/>
  <c r="Q64" i="5"/>
  <c r="R64" i="5"/>
  <c r="M72" i="5"/>
  <c r="N72" i="5"/>
  <c r="O72" i="5"/>
  <c r="P72" i="5"/>
  <c r="Q72" i="5"/>
  <c r="R72" i="5"/>
  <c r="N75" i="5"/>
  <c r="O75" i="5"/>
  <c r="P75" i="5"/>
  <c r="Q75" i="5"/>
  <c r="R75" i="5"/>
  <c r="M76" i="5"/>
  <c r="N76" i="5"/>
  <c r="O76" i="5"/>
  <c r="P76" i="5"/>
  <c r="Q76" i="5"/>
  <c r="R76" i="5"/>
  <c r="M77" i="5"/>
  <c r="N77" i="5"/>
  <c r="O77" i="5"/>
  <c r="P77" i="5"/>
  <c r="Q77" i="5"/>
  <c r="R77" i="5"/>
  <c r="N99" i="5"/>
  <c r="O99" i="5"/>
  <c r="P99" i="5"/>
  <c r="Q99" i="5"/>
  <c r="R99" i="5"/>
  <c r="N112" i="5"/>
  <c r="O112" i="5"/>
  <c r="P112" i="5"/>
  <c r="Q112" i="5"/>
  <c r="R112" i="5"/>
  <c r="N113" i="5"/>
  <c r="O113" i="5"/>
  <c r="P113" i="5"/>
  <c r="Q113" i="5"/>
  <c r="R113" i="5"/>
  <c r="N119" i="5"/>
  <c r="O119" i="5"/>
  <c r="P119" i="5"/>
  <c r="Q119" i="5"/>
  <c r="R119" i="5"/>
  <c r="N120" i="5"/>
  <c r="O120" i="5"/>
  <c r="P120" i="5"/>
  <c r="Q120" i="5"/>
  <c r="R120" i="5"/>
  <c r="N121" i="5"/>
  <c r="O121" i="5"/>
  <c r="P121" i="5"/>
  <c r="Q121" i="5"/>
  <c r="R121" i="5"/>
  <c r="N123" i="5"/>
  <c r="O123" i="5"/>
  <c r="P123" i="5"/>
  <c r="Q123" i="5"/>
  <c r="R123" i="5"/>
  <c r="N145" i="5"/>
  <c r="O145" i="5"/>
  <c r="P145" i="5"/>
  <c r="Q145" i="5"/>
  <c r="R145" i="5"/>
  <c r="M146" i="5"/>
  <c r="N146" i="5"/>
  <c r="O146" i="5"/>
  <c r="P146" i="5"/>
  <c r="Q146" i="5"/>
  <c r="R146" i="5"/>
  <c r="N148" i="5"/>
  <c r="O148" i="5"/>
  <c r="P148" i="5"/>
  <c r="Q148" i="5"/>
  <c r="R148" i="5"/>
  <c r="M150" i="5"/>
  <c r="N150" i="5"/>
  <c r="O150" i="5"/>
  <c r="P150" i="5"/>
  <c r="Q150" i="5"/>
  <c r="R150" i="5"/>
  <c r="N153" i="5"/>
  <c r="O153" i="5"/>
  <c r="P153" i="5"/>
  <c r="Q153" i="5"/>
  <c r="R153" i="5"/>
  <c r="M154" i="5"/>
  <c r="N154" i="5"/>
  <c r="O154" i="5"/>
  <c r="P154" i="5"/>
  <c r="Q154" i="5"/>
  <c r="R154" i="5"/>
  <c r="M155" i="5"/>
  <c r="N155" i="5"/>
  <c r="O155" i="5"/>
  <c r="P155" i="5"/>
  <c r="Q155" i="5"/>
  <c r="R155" i="5"/>
  <c r="M157" i="5"/>
  <c r="N157" i="5"/>
  <c r="O157" i="5"/>
  <c r="P157" i="5"/>
  <c r="Q157" i="5"/>
  <c r="R157" i="5"/>
  <c r="M160" i="5"/>
  <c r="N160" i="5"/>
  <c r="O160" i="5"/>
  <c r="P160" i="5"/>
  <c r="Q160" i="5"/>
  <c r="R160" i="5"/>
  <c r="N163" i="5"/>
  <c r="O163" i="5"/>
  <c r="P163" i="5"/>
  <c r="Q163" i="5"/>
  <c r="R163" i="5"/>
  <c r="M164" i="5"/>
  <c r="N164" i="5"/>
  <c r="O164" i="5"/>
  <c r="P164" i="5"/>
  <c r="Q164" i="5"/>
  <c r="R164" i="5"/>
  <c r="M165" i="5"/>
  <c r="N165" i="5"/>
  <c r="O165" i="5"/>
  <c r="P165" i="5"/>
  <c r="Q165" i="5"/>
  <c r="R165" i="5"/>
  <c r="M168" i="5"/>
  <c r="N168" i="5"/>
  <c r="O168" i="5"/>
  <c r="P168" i="5"/>
  <c r="Q168" i="5"/>
  <c r="R168" i="5"/>
  <c r="M170" i="5"/>
  <c r="N170" i="5"/>
  <c r="O170" i="5"/>
  <c r="P170" i="5"/>
  <c r="Q170" i="5"/>
  <c r="R170" i="5"/>
  <c r="M179" i="5"/>
  <c r="N179" i="5"/>
  <c r="O179" i="5"/>
  <c r="P179" i="5"/>
  <c r="Q179" i="5"/>
  <c r="R179" i="5"/>
  <c r="M180" i="5"/>
  <c r="N180" i="5"/>
  <c r="O180" i="5"/>
  <c r="P180" i="5"/>
  <c r="Q180" i="5"/>
  <c r="R180" i="5"/>
  <c r="M182" i="5"/>
  <c r="N182" i="5"/>
  <c r="O182" i="5"/>
  <c r="P182" i="5"/>
  <c r="Q182" i="5"/>
  <c r="R182" i="5"/>
  <c r="M183" i="5"/>
  <c r="N183" i="5"/>
  <c r="O183" i="5"/>
  <c r="P183" i="5"/>
  <c r="Q183" i="5"/>
  <c r="R183" i="5"/>
  <c r="N185" i="5"/>
  <c r="O185" i="5"/>
  <c r="P185" i="5"/>
  <c r="Q185" i="5"/>
  <c r="R185" i="5"/>
  <c r="N186" i="5"/>
  <c r="O186" i="5"/>
  <c r="P186" i="5"/>
  <c r="Q186" i="5"/>
  <c r="R186" i="5"/>
  <c r="M187" i="5"/>
  <c r="N187" i="5"/>
  <c r="O187" i="5"/>
  <c r="P187" i="5"/>
  <c r="Q187" i="5"/>
  <c r="R187" i="5"/>
  <c r="M188" i="5"/>
  <c r="N188" i="5"/>
  <c r="O188" i="5"/>
  <c r="P188" i="5"/>
  <c r="Q188" i="5"/>
  <c r="R188" i="5"/>
  <c r="M191" i="5"/>
  <c r="N191" i="5"/>
  <c r="O191" i="5"/>
  <c r="P191" i="5"/>
  <c r="Q191" i="5"/>
  <c r="R191" i="5"/>
  <c r="M193" i="5"/>
  <c r="N193" i="5"/>
  <c r="O193" i="5"/>
  <c r="P193" i="5"/>
  <c r="Q193" i="5"/>
  <c r="R193" i="5"/>
  <c r="M200" i="5"/>
  <c r="N200" i="5"/>
  <c r="O200" i="5"/>
  <c r="P200" i="5"/>
  <c r="Q200" i="5"/>
  <c r="R200" i="5"/>
  <c r="M201" i="5"/>
  <c r="N201" i="5"/>
  <c r="O201" i="5"/>
  <c r="P201" i="5"/>
  <c r="Q201" i="5"/>
  <c r="R201" i="5"/>
  <c r="N203" i="5"/>
  <c r="O203" i="5"/>
  <c r="P203" i="5"/>
  <c r="Q203" i="5"/>
  <c r="R203" i="5"/>
  <c r="N204" i="5"/>
  <c r="O204" i="5"/>
  <c r="P204" i="5"/>
  <c r="Q204" i="5"/>
  <c r="R204" i="5"/>
  <c r="M205" i="5"/>
  <c r="N205" i="5"/>
  <c r="O205" i="5"/>
  <c r="P205" i="5"/>
  <c r="Q205" i="5"/>
  <c r="R205" i="5"/>
  <c r="M206" i="5"/>
  <c r="N206" i="5"/>
  <c r="O206" i="5"/>
  <c r="P206" i="5"/>
  <c r="Q206" i="5"/>
  <c r="R206" i="5"/>
  <c r="M209" i="5"/>
  <c r="N209" i="5"/>
  <c r="O209" i="5"/>
  <c r="P209" i="5"/>
  <c r="Q209" i="5"/>
  <c r="R209" i="5"/>
  <c r="M238" i="5"/>
  <c r="N238" i="5"/>
  <c r="O238" i="5"/>
  <c r="P238" i="5"/>
  <c r="Q238" i="5"/>
  <c r="R238" i="5"/>
  <c r="N239" i="5"/>
  <c r="O239" i="5"/>
  <c r="P239" i="5"/>
  <c r="Q239" i="5"/>
  <c r="R239" i="5"/>
  <c r="M241" i="5"/>
  <c r="N241" i="5"/>
  <c r="O241" i="5"/>
  <c r="P241" i="5"/>
  <c r="Q241" i="5"/>
  <c r="R241" i="5"/>
  <c r="M246" i="5"/>
  <c r="N246" i="5"/>
  <c r="O246" i="5"/>
  <c r="P246" i="5"/>
  <c r="Q246" i="5"/>
  <c r="R246" i="5"/>
  <c r="M247" i="5"/>
  <c r="N247" i="5"/>
  <c r="O247" i="5"/>
  <c r="P247" i="5"/>
  <c r="Q247" i="5"/>
  <c r="R247" i="5"/>
  <c r="M249" i="5"/>
  <c r="N249" i="5"/>
  <c r="O249" i="5"/>
  <c r="P249" i="5"/>
  <c r="Q249" i="5"/>
  <c r="R249" i="5"/>
  <c r="M253" i="5"/>
  <c r="N253" i="5"/>
  <c r="O253" i="5"/>
  <c r="P253" i="5"/>
  <c r="Q253" i="5"/>
  <c r="R253" i="5"/>
  <c r="M254" i="5"/>
  <c r="N254" i="5"/>
  <c r="O254" i="5"/>
  <c r="P254" i="5"/>
  <c r="Q254" i="5"/>
  <c r="R254" i="5"/>
  <c r="M255" i="5"/>
  <c r="N255" i="5"/>
  <c r="O255" i="5"/>
  <c r="P255" i="5"/>
  <c r="Q255" i="5"/>
  <c r="R255" i="5"/>
  <c r="M257" i="5"/>
  <c r="N257" i="5"/>
  <c r="O257" i="5"/>
  <c r="P257" i="5"/>
  <c r="Q257" i="5"/>
  <c r="R257" i="5"/>
  <c r="N270" i="5"/>
  <c r="O270" i="5"/>
  <c r="P270" i="5"/>
  <c r="Q270" i="5"/>
  <c r="R270" i="5"/>
  <c r="M271" i="5"/>
  <c r="N271" i="5"/>
  <c r="O271" i="5"/>
  <c r="P271" i="5"/>
  <c r="Q271" i="5"/>
  <c r="R271" i="5"/>
  <c r="M273" i="5"/>
  <c r="N273" i="5"/>
  <c r="O273" i="5"/>
  <c r="P273" i="5"/>
  <c r="Q273" i="5"/>
  <c r="R273" i="5"/>
  <c r="N283" i="5"/>
  <c r="O283" i="5"/>
  <c r="P283" i="5"/>
  <c r="Q283" i="5"/>
  <c r="R283" i="5"/>
  <c r="N285" i="5"/>
  <c r="O285" i="5"/>
  <c r="P285" i="5"/>
  <c r="Q285" i="5"/>
  <c r="R285" i="5"/>
  <c r="M287" i="5"/>
  <c r="N287" i="5"/>
  <c r="O287" i="5"/>
  <c r="P287" i="5"/>
  <c r="Q287" i="5"/>
  <c r="R287" i="5"/>
  <c r="M288" i="5"/>
  <c r="N288" i="5"/>
  <c r="O288" i="5"/>
  <c r="P288" i="5"/>
  <c r="Q288" i="5"/>
  <c r="R288" i="5"/>
  <c r="M289" i="5"/>
  <c r="N289" i="5"/>
  <c r="O289" i="5"/>
  <c r="P289" i="5"/>
  <c r="Q289" i="5"/>
  <c r="R289" i="5"/>
  <c r="N292" i="5"/>
  <c r="O292" i="5"/>
  <c r="P292" i="5"/>
  <c r="Q292" i="5"/>
  <c r="R292" i="5"/>
  <c r="M293" i="5"/>
  <c r="N293" i="5"/>
  <c r="O293" i="5"/>
  <c r="P293" i="5"/>
  <c r="Q293" i="5"/>
  <c r="R293" i="5"/>
  <c r="M294" i="5"/>
  <c r="N294" i="5"/>
  <c r="O294" i="5"/>
  <c r="P294" i="5"/>
  <c r="Q294" i="5"/>
  <c r="R294" i="5"/>
  <c r="D298" i="5"/>
  <c r="E298" i="5"/>
  <c r="R298" i="5"/>
  <c r="D299" i="5"/>
  <c r="E299" i="5"/>
  <c r="Q299" i="5"/>
  <c r="D300" i="5"/>
  <c r="E300" i="5"/>
  <c r="P300" i="5"/>
  <c r="D301" i="5"/>
  <c r="E301" i="5"/>
  <c r="O301" i="5"/>
  <c r="D302" i="5"/>
  <c r="E302" i="5"/>
  <c r="N302" i="5"/>
  <c r="D303" i="5"/>
  <c r="E303" i="5"/>
  <c r="M303" i="5"/>
  <c r="I27" i="2"/>
  <c r="O27" i="2"/>
  <c r="K34" i="2"/>
  <c r="L34" i="2"/>
  <c r="M34" i="2"/>
  <c r="N34" i="2"/>
  <c r="O34" i="2"/>
  <c r="K35" i="2"/>
  <c r="L35" i="2"/>
  <c r="M35" i="2"/>
  <c r="N35" i="2"/>
  <c r="O35" i="2"/>
  <c r="AJ35" i="2"/>
  <c r="AK35" i="2"/>
  <c r="AL35" i="2"/>
  <c r="AM35" i="2"/>
  <c r="AN35" i="2"/>
  <c r="AO35" i="2"/>
  <c r="J36" i="2"/>
  <c r="K36" i="2"/>
  <c r="L36" i="2"/>
  <c r="M36" i="2"/>
  <c r="N36" i="2"/>
  <c r="O36" i="2"/>
  <c r="AK39" i="2"/>
  <c r="AL39" i="2"/>
  <c r="AM39" i="2"/>
  <c r="AN39" i="2"/>
  <c r="AO39" i="2"/>
  <c r="AJ40" i="2"/>
  <c r="AK40" i="2"/>
  <c r="AL40" i="2"/>
  <c r="AM40" i="2"/>
  <c r="AN40" i="2"/>
  <c r="AO40" i="2"/>
  <c r="J41" i="2"/>
  <c r="K41" i="2"/>
  <c r="L41" i="2"/>
  <c r="M41" i="2"/>
  <c r="N41" i="2"/>
  <c r="O41" i="2"/>
  <c r="AJ41" i="2"/>
  <c r="AK41" i="2"/>
  <c r="AL41" i="2"/>
  <c r="AM41" i="2"/>
  <c r="AN41" i="2"/>
  <c r="AO41" i="2"/>
  <c r="AK42" i="2"/>
  <c r="AL42" i="2"/>
  <c r="AM42" i="2"/>
  <c r="AN42" i="2"/>
  <c r="AO42" i="2"/>
  <c r="K43" i="2"/>
  <c r="L43" i="2"/>
  <c r="M43" i="2"/>
  <c r="N43" i="2"/>
  <c r="O43" i="2"/>
  <c r="J44" i="2"/>
  <c r="K44" i="2"/>
  <c r="L44" i="2"/>
  <c r="M44" i="2"/>
  <c r="N44" i="2"/>
  <c r="O44" i="2"/>
  <c r="AJ44" i="2"/>
  <c r="AK44" i="2"/>
  <c r="AL44" i="2"/>
  <c r="AM44" i="2"/>
  <c r="AN44" i="2"/>
  <c r="AO44" i="2"/>
  <c r="J45" i="2"/>
  <c r="K45" i="2"/>
  <c r="L45" i="2"/>
  <c r="M45" i="2"/>
  <c r="N45" i="2"/>
  <c r="O45" i="2"/>
  <c r="J46" i="2"/>
  <c r="K46" i="2"/>
  <c r="L46" i="2"/>
  <c r="M46" i="2"/>
  <c r="N46" i="2"/>
  <c r="O46" i="2"/>
  <c r="J48" i="2"/>
  <c r="K48" i="2"/>
  <c r="L48" i="2"/>
  <c r="M48" i="2"/>
  <c r="N48" i="2"/>
  <c r="O48" i="2"/>
  <c r="AK48" i="2"/>
  <c r="AL48" i="2"/>
  <c r="AM48" i="2"/>
  <c r="AN48" i="2"/>
  <c r="AO48" i="2"/>
  <c r="K49" i="2"/>
  <c r="L49" i="2"/>
  <c r="M49" i="2"/>
  <c r="N49" i="2"/>
  <c r="O49" i="2"/>
  <c r="AK49" i="2"/>
  <c r="AL49" i="2"/>
  <c r="AM49" i="2"/>
  <c r="AN49" i="2"/>
  <c r="AO49" i="2"/>
  <c r="J50" i="2"/>
  <c r="K50" i="2"/>
  <c r="L50" i="2"/>
  <c r="M50" i="2"/>
  <c r="N50" i="2"/>
  <c r="O50" i="2"/>
  <c r="AK61" i="2"/>
  <c r="AL61" i="2"/>
  <c r="AM61" i="2"/>
  <c r="AN61" i="2"/>
  <c r="AO61" i="2"/>
  <c r="X92" i="2"/>
  <c r="Y92" i="2"/>
  <c r="E93" i="2"/>
  <c r="F93" i="2"/>
  <c r="X93" i="2"/>
  <c r="Y93" i="2"/>
  <c r="X94" i="2"/>
  <c r="Y94" i="2"/>
  <c r="X95" i="2"/>
  <c r="Y95" i="2"/>
  <c r="X96" i="2"/>
  <c r="Y9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Kunarodzhvimute,D (ug)</author>
    <author>David Kunarodzhvimute</author>
  </authors>
  <commentList>
    <comment ref="F13" authorId="0" shapeId="0" xr:uid="{7AF69A26-E78E-4F1C-BFC9-3C660FB4F47D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against a TEV = $55bn, so $1bn goes to fees?</t>
        </r>
      </text>
    </comment>
    <comment ref="B21" authorId="0" shapeId="0" xr:uid="{D2CD2CC5-420F-4A2B-BAB1-DFF2D6CDD53E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million</t>
        </r>
      </text>
    </comment>
    <comment ref="C23" authorId="0" shapeId="0" xr:uid="{A52A7974-7CA5-456F-9013-0585B9266BAE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at market close on Sept 25, 2025</t>
        </r>
      </text>
    </comment>
    <comment ref="F24" authorId="0" shapeId="0" xr:uid="{837042FE-53EA-4225-B696-4B19AC3AA5A9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Q1 FY2027 begins: Apr 1, 2026; and ends: Jun 30, 2026. Midway thru (assume this is the close date) = May 15, 2026</t>
        </r>
      </text>
    </comment>
    <comment ref="B41" authorId="1" shapeId="0" xr:uid="{756E4C3A-8A00-48E8-9F34-6D049F621664}">
      <text>
        <r>
          <rPr>
            <b/>
            <sz val="9"/>
            <color indexed="81"/>
            <rFont val="Tahoma"/>
            <family val="2"/>
          </rPr>
          <t>David Kunarodzhvimute:</t>
        </r>
        <r>
          <rPr>
            <sz val="9"/>
            <color indexed="81"/>
            <rFont val="Tahoma"/>
            <family val="2"/>
          </rPr>
          <t xml:space="preserve">
issued to fund the debt recapitalisation</t>
        </r>
      </text>
    </comment>
    <comment ref="B49" authorId="1" shapeId="0" xr:uid="{3D848573-8A8F-4B0A-976B-E08663C4D4CC}">
      <text>
        <r>
          <rPr>
            <b/>
            <sz val="9"/>
            <color indexed="81"/>
            <rFont val="Tahoma"/>
            <family val="2"/>
          </rPr>
          <t>David Kunarodzhvimute:</t>
        </r>
        <r>
          <rPr>
            <sz val="9"/>
            <color indexed="81"/>
            <rFont val="Tahoma"/>
            <family val="2"/>
          </rPr>
          <t xml:space="preserve">
to fund dividend recapitalisation</t>
        </r>
      </text>
    </comment>
    <comment ref="D49" authorId="1" shapeId="0" xr:uid="{7F85DE23-5646-4BB2-9A32-EF5A37F268F3}">
      <text>
        <r>
          <rPr>
            <b/>
            <sz val="9"/>
            <color indexed="81"/>
            <rFont val="Tahoma"/>
            <family val="2"/>
          </rPr>
          <t>David Kunarodzhvimute:</t>
        </r>
        <r>
          <rPr>
            <sz val="9"/>
            <color indexed="81"/>
            <rFont val="Tahoma"/>
            <family val="2"/>
          </rPr>
          <t xml:space="preserve">
no additional repayments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Kunarodzhvimute,D (ug)</author>
    <author>David Kunarodzhvimute</author>
  </authors>
  <commentList>
    <comment ref="G6" authorId="0" shapeId="0" xr:uid="{10EEFC19-85C3-4A29-9621-5D1FB211BB55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very high growth rate due to a one-off event (covid lockdowns) that induced some structural change in consumer behaviour</t>
        </r>
      </text>
    </comment>
    <comment ref="K6" authorId="0" shapeId="0" xr:uid="{0F53347F-FF1A-4567-A2BE-9AF0F2204C47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Battlefield 6 Release
</t>
        </r>
      </text>
    </comment>
    <comment ref="N6" authorId="0" shapeId="0" xr:uid="{BC40DEA2-B80C-465D-B97C-E3AE024D2943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Sims Project Rene franchise cycle kicks off, providing boost to revenue</t>
        </r>
      </text>
    </comment>
    <comment ref="Q6" authorId="0" shapeId="0" xr:uid="{03B6B1A9-2F39-4129-A6A4-51EE01D01804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new releases coming out of pipeline, including Madden NFL, Battlefield 7, Apex Legends</t>
        </r>
      </text>
    </comment>
    <comment ref="N12" authorId="0" shapeId="0" xr:uid="{4136B898-EAAF-4E81-89A9-19321F3DD351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no surge in full game sales as: Sims Project Rene is expected to be on a free-to-downloads model</t>
        </r>
      </text>
    </comment>
    <comment ref="B16" authorId="0" shapeId="0" xr:uid="{EB2CF009-685C-4D3A-86F6-A32C9F86E829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Blockbuster Releases --&gt; corresponding boost to in-game purchases &amp; subscriptions</t>
        </r>
      </text>
    </comment>
    <comment ref="K17" authorId="0" shapeId="0" xr:uid="{0F2DD897-33B8-4ED6-A552-D4F885D9C45C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Live services are less important for Battlefield monetisation</t>
        </r>
      </text>
    </comment>
    <comment ref="B18" authorId="0" shapeId="0" xr:uid="{F4CCBA24-11E2-4210-90A1-BDFA9F4AE56D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Lukewarm reception of new Game Releases --&gt; corresponding weakness in in-game purchases</t>
        </r>
      </text>
    </comment>
    <comment ref="B47" authorId="1" shapeId="0" xr:uid="{F7D1673E-34F9-4640-9513-7A709622DBAC}">
      <text>
        <r>
          <rPr>
            <b/>
            <sz val="9"/>
            <color indexed="81"/>
            <rFont val="Tahoma"/>
            <family val="2"/>
          </rPr>
          <t>David Kunarodzhvimute:</t>
        </r>
        <r>
          <rPr>
            <sz val="9"/>
            <color indexed="81"/>
            <rFont val="Tahoma"/>
            <family val="2"/>
          </rPr>
          <t xml:space="preserve">
e.g. deferred taxes which we assume to normalise to 0.</t>
        </r>
      </text>
    </comment>
    <comment ref="B65" authorId="0" shapeId="0" xr:uid="{ED0D1B2B-7277-47A4-8DE4-4950EA3E46FB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market-implied forward-looking yield curve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Kunarodzhvimute,D (ug)</author>
    <author>David Kunarodzhvimute</author>
  </authors>
  <commentList>
    <comment ref="B7" authorId="0" shapeId="0" xr:uid="{196FE878-C8E2-4DDE-8410-A19AB15896AF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assume that revenue growth spikes when new games released; otherwise very slow growth</t>
        </r>
      </text>
    </comment>
    <comment ref="B36" authorId="0" shapeId="0" xr:uid="{C56E2972-E13F-4BC5-896E-C3C1E22B43CB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adjustments for asset writedowns &amp; restructuring charges</t>
        </r>
      </text>
    </comment>
    <comment ref="B38" authorId="0" shapeId="0" xr:uid="{480883E6-2956-4178-8A91-BF8E7E0FA87A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for estimated figures from 2026 onwards, we use adjusted net income </t>
        </r>
      </text>
    </comment>
    <comment ref="B46" authorId="0" shapeId="0" xr:uid="{F7A6A2BC-198F-4C84-B8B6-47466131AD59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adjusted</t>
        </r>
      </text>
    </comment>
    <comment ref="B50" authorId="1" shapeId="0" xr:uid="{31B8FBAC-FF79-4615-A547-AE498F9750F3}">
      <text>
        <r>
          <rPr>
            <b/>
            <sz val="9"/>
            <color indexed="81"/>
            <rFont val="Tahoma"/>
            <family val="2"/>
          </rPr>
          <t>David Kunarodzhvimute:</t>
        </r>
        <r>
          <rPr>
            <sz val="9"/>
            <color indexed="81"/>
            <rFont val="Tahoma"/>
            <family val="2"/>
          </rPr>
          <t xml:space="preserve">
e.g. deferred taxes which we assume to normalise to 0, other (unspecified) assets</t>
        </r>
      </text>
    </comment>
    <comment ref="B52" authorId="0" shapeId="0" xr:uid="{9E8EE9C4-9BB4-43DD-BEFF-F083138AC27F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adjusted -&gt; figures not exactly the same as in reported CFS</t>
        </r>
      </text>
    </comment>
    <comment ref="B67" authorId="0" shapeId="0" xr:uid="{5AED3F2B-DEFE-4093-844E-07A4270F49ED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as modelling FY2026 pre-LBO; assume treatment of the entire FY2027 as post close, i.e. no dividends or buybacks</t>
        </r>
      </text>
    </comment>
    <comment ref="M132" authorId="0" shapeId="0" xr:uid="{4A37D64F-4CA3-46A8-B372-109EEBCC6AB9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fully refinanced to comply with change of ownership clauses</t>
        </r>
      </text>
    </comment>
    <comment ref="B135" authorId="0" shapeId="0" xr:uid="{E18E68D2-4552-4959-A8D2-7D19EC2E01B4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average blended interest rate</t>
        </r>
      </text>
    </comment>
    <comment ref="M137" authorId="0" shapeId="0" xr:uid="{18CC0282-0518-4C76-A873-42E294AE6C38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adjust for transaction closing mid Q1 FY27</t>
        </r>
      </text>
    </comment>
    <comment ref="O222" authorId="1" shapeId="0" xr:uid="{89656AAF-6A57-4E1B-A193-74DA40592F86}">
      <text>
        <r>
          <rPr>
            <b/>
            <sz val="9"/>
            <color indexed="81"/>
            <rFont val="Tahoma"/>
            <family val="2"/>
          </rPr>
          <t>David Kunarodzhvimute:</t>
        </r>
        <r>
          <rPr>
            <sz val="9"/>
            <color indexed="81"/>
            <rFont val="Tahoma"/>
            <family val="2"/>
          </rPr>
          <t xml:space="preserve">
issue TLB at FY29 Year End</t>
        </r>
      </text>
    </comment>
    <comment ref="L281" authorId="0" shapeId="0" xr:uid="{5A5E1531-0510-4369-9FA5-05F6D6F69B93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Q1 FY2027 begins: Apr 1, 2026; and ends: Jun 30, 2026. Midway thru (assume this is the close date) = May 15, 2026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<sst xmlns="http://schemas.openxmlformats.org/spreadsheetml/2006/main" count="776" uniqueCount="409">
  <si>
    <t>Electronic Arts LBO Model</t>
  </si>
  <si>
    <t>$55 billion largest-ever take-private by</t>
  </si>
  <si>
    <t>S</t>
  </si>
  <si>
    <t>https://www.lsepes.com/reports</t>
  </si>
  <si>
    <t>https://www.linkedin.com/company/lsesu-private-equity-society/</t>
  </si>
  <si>
    <t>Purchase Price</t>
  </si>
  <si>
    <t>Sources and Uses of Cash</t>
  </si>
  <si>
    <t>All figures in $USD mn, except on a per share basis</t>
  </si>
  <si>
    <t>EBITDA Multiples</t>
  </si>
  <si>
    <t>Sources</t>
  </si>
  <si>
    <t xml:space="preserve">Multiple </t>
  </si>
  <si>
    <t>Amount</t>
  </si>
  <si>
    <t>Uses</t>
  </si>
  <si>
    <t>Entry EV/EBITDA</t>
  </si>
  <si>
    <t xml:space="preserve">Revolving Credit Facility </t>
  </si>
  <si>
    <t>Equity Offer Value</t>
  </si>
  <si>
    <t>Exit EV/EBITDA</t>
  </si>
  <si>
    <t>Senior Debt</t>
  </si>
  <si>
    <t>Debt Refinancing</t>
  </si>
  <si>
    <t>EBITDA</t>
  </si>
  <si>
    <t xml:space="preserve">Term Loan </t>
  </si>
  <si>
    <t>Fees</t>
  </si>
  <si>
    <t>Equity Consortium Contribution</t>
  </si>
  <si>
    <t>Total Uses</t>
  </si>
  <si>
    <t>Enterprise and Equity Offer Value</t>
  </si>
  <si>
    <t>PIF Equity Rollover</t>
  </si>
  <si>
    <t>Total Sources</t>
  </si>
  <si>
    <t>Net Debt</t>
  </si>
  <si>
    <t>Cash &amp; Fees</t>
  </si>
  <si>
    <t>Implied Enterprise Value</t>
  </si>
  <si>
    <t>Shares Outstanding (million)</t>
  </si>
  <si>
    <t>Proportion of Leverage</t>
  </si>
  <si>
    <t>Price Per Share Offer</t>
  </si>
  <si>
    <t>Unaffected Share Price</t>
  </si>
  <si>
    <t>Premium / (Discount)</t>
  </si>
  <si>
    <t>Equity Investment</t>
  </si>
  <si>
    <t>Internal Rate of Return (IRR)</t>
  </si>
  <si>
    <t>Multiple of Invested Capital (MOIC)</t>
  </si>
  <si>
    <t>Year</t>
  </si>
  <si>
    <t>Credit Metrics</t>
  </si>
  <si>
    <t>R&amp;D Expense</t>
  </si>
  <si>
    <t>R&amp;D Margin</t>
  </si>
  <si>
    <t>Financial Projections</t>
  </si>
  <si>
    <t>EBIT</t>
  </si>
  <si>
    <t>Tax Expense</t>
  </si>
  <si>
    <t>CapEx</t>
  </si>
  <si>
    <t>CapEx, % of Revenue</t>
  </si>
  <si>
    <t>Net Interest Expense</t>
  </si>
  <si>
    <t>Total Interest Expense</t>
  </si>
  <si>
    <t>Interest Coverage Ratio</t>
  </si>
  <si>
    <t>Total Principal Repayments</t>
  </si>
  <si>
    <t xml:space="preserve">Net Debt/EBITDA </t>
  </si>
  <si>
    <t>Total Debt</t>
  </si>
  <si>
    <t>Cash</t>
  </si>
  <si>
    <t>Total Debt/EBITDA</t>
  </si>
  <si>
    <t>Debt Service Coverage Ratio</t>
  </si>
  <si>
    <t>N/A</t>
  </si>
  <si>
    <t>EBITDA Margin</t>
  </si>
  <si>
    <t>Deleveraging ($ billions)</t>
  </si>
  <si>
    <t>R&amp;D Optimisation</t>
  </si>
  <si>
    <t>AI-Driven EBITDA Margin Growth</t>
  </si>
  <si>
    <t>Geographic Mix</t>
  </si>
  <si>
    <t>FY2025A</t>
  </si>
  <si>
    <t>%</t>
  </si>
  <si>
    <t>Revenue Segment Mix</t>
  </si>
  <si>
    <t>International</t>
  </si>
  <si>
    <t>Live-Services</t>
  </si>
  <si>
    <t>North America</t>
  </si>
  <si>
    <t>Full-Game Sales</t>
  </si>
  <si>
    <t>Total</t>
  </si>
  <si>
    <t>Live-Services Growth Rate</t>
  </si>
  <si>
    <t>Revenue by Platform</t>
  </si>
  <si>
    <t>FY2025</t>
  </si>
  <si>
    <t>Mobile</t>
  </si>
  <si>
    <t>Margin Expansion</t>
  </si>
  <si>
    <t>Live-Services Growth</t>
  </si>
  <si>
    <t>PC and Other</t>
  </si>
  <si>
    <t>Console</t>
  </si>
  <si>
    <t>Return Analysis</t>
  </si>
  <si>
    <t>SOFR</t>
  </si>
  <si>
    <t>Term Loan</t>
  </si>
  <si>
    <t>IRR and MOIC (Exit Multiple)</t>
  </si>
  <si>
    <t>Equity Returns by Investment Horizon</t>
  </si>
  <si>
    <t>Investor Returns</t>
  </si>
  <si>
    <t>IRR</t>
  </si>
  <si>
    <t>MOIC</t>
  </si>
  <si>
    <t xml:space="preserve">Senior Debt </t>
  </si>
  <si>
    <t>Exit</t>
  </si>
  <si>
    <t>Year 1</t>
  </si>
  <si>
    <t>TLB</t>
  </si>
  <si>
    <t>Year 2</t>
  </si>
  <si>
    <t>Year 3</t>
  </si>
  <si>
    <t>Year 4</t>
  </si>
  <si>
    <t>Year 5</t>
  </si>
  <si>
    <t>Exit Multiple</t>
  </si>
  <si>
    <t>Multiple</t>
  </si>
  <si>
    <t>Entry EV / EBITDA (Implied)</t>
  </si>
  <si>
    <t>Exit EV / EBITDA</t>
  </si>
  <si>
    <t>Assume Entry mult = Exit mult</t>
  </si>
  <si>
    <t>No</t>
  </si>
  <si>
    <t>Equity % Used</t>
  </si>
  <si>
    <t>Debt % Used</t>
  </si>
  <si>
    <t>Cash &amp; Equivalents</t>
  </si>
  <si>
    <t xml:space="preserve">Implied Enterprise Value Offer </t>
  </si>
  <si>
    <t>Other Inputs</t>
  </si>
  <si>
    <t>Fully Diluted Shares Outstanding</t>
  </si>
  <si>
    <t>General Inputs</t>
  </si>
  <si>
    <t>$mn</t>
  </si>
  <si>
    <t>Year Fraction</t>
  </si>
  <si>
    <t>Share Price Offer</t>
  </si>
  <si>
    <t>First Forecast Fiscal Year (Model)</t>
  </si>
  <si>
    <t>Debt Restructuring</t>
  </si>
  <si>
    <t xml:space="preserve">Fiscal Year End </t>
  </si>
  <si>
    <t>Debt Financing</t>
  </si>
  <si>
    <t>Transaction Close Date</t>
  </si>
  <si>
    <t>Advisory / Closing Fees</t>
  </si>
  <si>
    <t>First Year of Forecast</t>
  </si>
  <si>
    <t>Total Fees</t>
  </si>
  <si>
    <t>Days in Period</t>
  </si>
  <si>
    <t>Effective Tax Rate</t>
  </si>
  <si>
    <t>Minimum Cash Balance</t>
  </si>
  <si>
    <t>Financing Assumptions</t>
  </si>
  <si>
    <t>Issuance</t>
  </si>
  <si>
    <t>Standby</t>
  </si>
  <si>
    <t xml:space="preserve">SOFR </t>
  </si>
  <si>
    <t>Type of Financing</t>
  </si>
  <si>
    <t>Percent</t>
  </si>
  <si>
    <t>Limit</t>
  </si>
  <si>
    <t>Fee %</t>
  </si>
  <si>
    <t>Fee</t>
  </si>
  <si>
    <t>Spread</t>
  </si>
  <si>
    <t>Revolving Credit Line</t>
  </si>
  <si>
    <t>Mandatory Principal Repayment</t>
  </si>
  <si>
    <t>Debt Type</t>
  </si>
  <si>
    <t>Sweep</t>
  </si>
  <si>
    <t>(x)</t>
  </si>
  <si>
    <t>Operating Model Drivers</t>
  </si>
  <si>
    <t>Driver Switch</t>
  </si>
  <si>
    <t>Case:</t>
  </si>
  <si>
    <t>Revenue Growth (Implied)</t>
  </si>
  <si>
    <t>by Product Type</t>
  </si>
  <si>
    <t>Full Game Sales</t>
  </si>
  <si>
    <t>Best Case</t>
  </si>
  <si>
    <t>Base Case</t>
  </si>
  <si>
    <t>---</t>
  </si>
  <si>
    <t>Worst Case</t>
  </si>
  <si>
    <t>Live Services &amp;  Other</t>
  </si>
  <si>
    <t>Operating Margins</t>
  </si>
  <si>
    <t>COGS Margin</t>
  </si>
  <si>
    <t>SG&amp;A Margin</t>
  </si>
  <si>
    <t>Intangibles Amortisation</t>
  </si>
  <si>
    <t>(% of Revenue)</t>
  </si>
  <si>
    <t>Net Non-Operating Income / (Expense)</t>
  </si>
  <si>
    <t>D&amp;A Margin</t>
  </si>
  <si>
    <t>CapEx Margin</t>
  </si>
  <si>
    <t>Changes in Deferred Net Revenue</t>
  </si>
  <si>
    <t>Other Cash Adjustments</t>
  </si>
  <si>
    <t>Stock Based Compensation</t>
  </si>
  <si>
    <t>(% of COGS)</t>
  </si>
  <si>
    <t>Working Capital</t>
  </si>
  <si>
    <t xml:space="preserve">Accounts Receivable </t>
  </si>
  <si>
    <t>(Days)</t>
  </si>
  <si>
    <t xml:space="preserve">Accounts Payable </t>
  </si>
  <si>
    <t xml:space="preserve">Prepaid Expenses </t>
  </si>
  <si>
    <t xml:space="preserve">Accrued Expenses </t>
  </si>
  <si>
    <t xml:space="preserve">Deferred Revenue </t>
  </si>
  <si>
    <t xml:space="preserve">Other Current Liabilities </t>
  </si>
  <si>
    <t xml:space="preserve">Other Current Assets </t>
  </si>
  <si>
    <t>Financing Assumptions &amp; Drivers</t>
  </si>
  <si>
    <t>Secured Overnight Financing Rate (SOFR)</t>
  </si>
  <si>
    <t>Revenue Schedule</t>
  </si>
  <si>
    <t>Growth Rate</t>
  </si>
  <si>
    <t>By Product Type</t>
  </si>
  <si>
    <t>Income Statement</t>
  </si>
  <si>
    <t>Total Revenue</t>
  </si>
  <si>
    <t>Cost of Goods Sold</t>
  </si>
  <si>
    <t>Gross Profit</t>
  </si>
  <si>
    <t>Selling General &amp; Admin</t>
  </si>
  <si>
    <t>Research &amp; Development</t>
  </si>
  <si>
    <t>Amortisation of Intangibles</t>
  </si>
  <si>
    <t>Operating Income (EBIT)</t>
  </si>
  <si>
    <t>EBIT Margin</t>
  </si>
  <si>
    <t>Net Interest Income / (Expense)</t>
  </si>
  <si>
    <t>EBT (Adjusted)</t>
  </si>
  <si>
    <t>Total Tax</t>
  </si>
  <si>
    <t>Net Income (Adjusted)</t>
  </si>
  <si>
    <t xml:space="preserve">EBITDA </t>
  </si>
  <si>
    <t>Cash Flow Schedule</t>
  </si>
  <si>
    <t xml:space="preserve">Cash from Operations </t>
  </si>
  <si>
    <t>Net Income</t>
  </si>
  <si>
    <t>Cash from NWC</t>
  </si>
  <si>
    <t xml:space="preserve">Stock-Based Compensation </t>
  </si>
  <si>
    <t>D&amp;A</t>
  </si>
  <si>
    <t>Other Adjustments</t>
  </si>
  <si>
    <t>Deferred Net Revenue</t>
  </si>
  <si>
    <t xml:space="preserve">Net Cash from Operations </t>
  </si>
  <si>
    <t>Cash from Investing</t>
  </si>
  <si>
    <t>Net Cash from Investing</t>
  </si>
  <si>
    <t xml:space="preserve">Cash from Financing </t>
  </si>
  <si>
    <t>Existing Debt Issuance / (Repayment)</t>
  </si>
  <si>
    <t>Existing Acquisition-Related Equity (Purchase)</t>
  </si>
  <si>
    <t>Revolving Credit Line Issuance / (Repayment)</t>
  </si>
  <si>
    <t>Senior Debt  Issuance / (Repayment)</t>
  </si>
  <si>
    <t>Term Loan A Issuance / (Repayment)</t>
  </si>
  <si>
    <t>Dividends &amp; Share Buybacks</t>
  </si>
  <si>
    <t xml:space="preserve">Unfinanced Commitment </t>
  </si>
  <si>
    <t xml:space="preserve">Equity Distribution </t>
  </si>
  <si>
    <t xml:space="preserve">Net Cash from Financing </t>
  </si>
  <si>
    <t>Cash Balance</t>
  </si>
  <si>
    <t>BOP Cash Balance</t>
  </si>
  <si>
    <t>Net Change in Cash</t>
  </si>
  <si>
    <t>EOP Cash Balance</t>
  </si>
  <si>
    <t>Capital Expenditure / Research &amp; Development Schedule</t>
  </si>
  <si>
    <t xml:space="preserve">Revenue </t>
  </si>
  <si>
    <t>Research &amp; Development (% of Sales)</t>
  </si>
  <si>
    <t>CapEx (% of Sales)</t>
  </si>
  <si>
    <t xml:space="preserve">Total CapEx and R&amp;D Expenditure </t>
  </si>
  <si>
    <t>Working Capital Schedule</t>
  </si>
  <si>
    <t>Revenue</t>
  </si>
  <si>
    <t>COGS</t>
  </si>
  <si>
    <t>Accounts Receivable (Days)</t>
  </si>
  <si>
    <t>Accounts Payable (Days)</t>
  </si>
  <si>
    <t>Prepaid Expenses (% of COGS)</t>
  </si>
  <si>
    <t>Accrued Expenses (% of Revenue)</t>
  </si>
  <si>
    <t>Deferred Revenue (% of Revenue)</t>
  </si>
  <si>
    <t>Other Current Liabilities (% of Revenue)</t>
  </si>
  <si>
    <t>Other Current Assets (% of Revenue)</t>
  </si>
  <si>
    <t>Total Amounts</t>
  </si>
  <si>
    <t>Prepaid Expenses</t>
  </si>
  <si>
    <t>Accrued Expenses</t>
  </si>
  <si>
    <t>Other Current Liabilities</t>
  </si>
  <si>
    <t>Current Assets</t>
  </si>
  <si>
    <t>Current Liabilities</t>
  </si>
  <si>
    <t>Net Working Capital</t>
  </si>
  <si>
    <t>Cash from Changes in NWC</t>
  </si>
  <si>
    <t xml:space="preserve">Debt Schedule: Part 1 (Before Acquisition) </t>
  </si>
  <si>
    <t>Existing Debt</t>
  </si>
  <si>
    <t>BOP Total Debt Balance</t>
  </si>
  <si>
    <t>Issuance / (Repayment)</t>
  </si>
  <si>
    <t>EOP Total Debt Balance</t>
  </si>
  <si>
    <t>Interest Rate</t>
  </si>
  <si>
    <t>Interest Expense</t>
  </si>
  <si>
    <t xml:space="preserve">Debt Schedule: Part 2 (Revolving Credit Facility) </t>
  </si>
  <si>
    <t xml:space="preserve">Opening Cash Balance </t>
  </si>
  <si>
    <t>Cash from Operations</t>
  </si>
  <si>
    <t>Mandatory Debt Issuance / (Repayment)</t>
  </si>
  <si>
    <t>Cash Available / (Required) for Revolving Credit Line</t>
  </si>
  <si>
    <t>Revolving Credit Facility (Drawn)</t>
  </si>
  <si>
    <t>Beginning</t>
  </si>
  <si>
    <t>Additions / (Repayments)</t>
  </si>
  <si>
    <t>Ending</t>
  </si>
  <si>
    <t>Maximum</t>
  </si>
  <si>
    <t>Amount Drawn Exceeds Maximum?</t>
  </si>
  <si>
    <t>Revolving Credit Facility (Undrawn)</t>
  </si>
  <si>
    <t>(Additions) / Repayments</t>
  </si>
  <si>
    <t>Revolving Credit Line Standby Fee Rate</t>
  </si>
  <si>
    <t>Revolving Credit Line Standby Fees</t>
  </si>
  <si>
    <t>Cash Available After Revolving Credit Line Pay Down</t>
  </si>
  <si>
    <t xml:space="preserve">Debt Schedule: Part 3 (Senior Debt &amp; Term Loan)  </t>
  </si>
  <si>
    <t>Loan Amortisation</t>
  </si>
  <si>
    <t>Cash Available for Discretionary Payments?</t>
  </si>
  <si>
    <t>Cash Available for Term Loan Paydown?</t>
  </si>
  <si>
    <t>Cash Amount for Term Loan Paydown</t>
  </si>
  <si>
    <t>Beginning Balance</t>
  </si>
  <si>
    <t>Mandatory Repayments</t>
  </si>
  <si>
    <t>Cash Sweep</t>
  </si>
  <si>
    <t>Discretionary Repayments</t>
  </si>
  <si>
    <t>Ending Balance</t>
  </si>
  <si>
    <t>Cash Available After Term Loan Pay Down?</t>
  </si>
  <si>
    <t>Cash Available After Term Loan Pay Down</t>
  </si>
  <si>
    <t xml:space="preserve">Debt Schedule: Part 4 (TLB + Dividend Recapitalisation)  </t>
  </si>
  <si>
    <t>TLB Issuance Fee</t>
  </si>
  <si>
    <t>Dividend</t>
  </si>
  <si>
    <t>Debt Schedule Summary</t>
  </si>
  <si>
    <t>Principal Issuance (Repayments)</t>
  </si>
  <si>
    <t>Existing Debt (ST &amp; LT)</t>
  </si>
  <si>
    <t>Revolving Credit Facility</t>
  </si>
  <si>
    <t>Total Principal (Repayments) / Issuances</t>
  </si>
  <si>
    <t>Ending Balances</t>
  </si>
  <si>
    <t>Total Ending Debt Balance</t>
  </si>
  <si>
    <t>Cash Interest Expense</t>
  </si>
  <si>
    <t>Equity Schedule</t>
  </si>
  <si>
    <t>Equity Capital</t>
  </si>
  <si>
    <t>BOP</t>
  </si>
  <si>
    <t>Equity Issuance / (Repurchase)</t>
  </si>
  <si>
    <t>EOP</t>
  </si>
  <si>
    <t>Retained Earnings</t>
  </si>
  <si>
    <t>Dividends</t>
  </si>
  <si>
    <t>EOP Balance</t>
  </si>
  <si>
    <t>Equity Returns Schedule</t>
  </si>
  <si>
    <t>Close</t>
  </si>
  <si>
    <t>Forecast Fiscal Year End</t>
  </si>
  <si>
    <t>Enterprise Value</t>
  </si>
  <si>
    <t>Total Net Debt</t>
  </si>
  <si>
    <t>Equity Value</t>
  </si>
  <si>
    <t>Equity Investor</t>
  </si>
  <si>
    <t>Share Price Timeline</t>
  </si>
  <si>
    <t>Pricing Date</t>
  </si>
  <si>
    <t>EA | Share Price (Daily)($)</t>
  </si>
  <si>
    <t>FCF (Cash from operations - CapEx)</t>
  </si>
  <si>
    <t>FY19</t>
  </si>
  <si>
    <t>FY20</t>
  </si>
  <si>
    <t>FY21</t>
  </si>
  <si>
    <t>FY22</t>
  </si>
  <si>
    <t>FY23</t>
  </si>
  <si>
    <t>FY24</t>
  </si>
  <si>
    <t>FY25</t>
  </si>
  <si>
    <t>Cash from Ops</t>
  </si>
  <si>
    <t>Free Cash Flows</t>
  </si>
  <si>
    <t>Historical Leverage &amp; Interest Coverage Ratios</t>
  </si>
  <si>
    <t>Total Debt / EBITDA (Left Axis)</t>
  </si>
  <si>
    <t>EBITDA / Interest Expense (Right Axis)</t>
  </si>
  <si>
    <t>Electronic Arts Inc. | Balance Sheet (As Reported)</t>
  </si>
  <si>
    <t>NASDAQGS: EA (MI KEY: 4100183; SPCIQ KEY: 27963)</t>
  </si>
  <si>
    <t>Source: Recommended</t>
  </si>
  <si>
    <t>Period Category: Fiscal</t>
  </si>
  <si>
    <t>Period Type: Years</t>
  </si>
  <si>
    <t>Sort Order: Latest on Right</t>
  </si>
  <si>
    <t>Currency: U.S. Dollar (USD)</t>
  </si>
  <si>
    <t>Recommended: S&amp;P Capital IQ - Standard</t>
  </si>
  <si>
    <t>2023 FY</t>
  </si>
  <si>
    <t>2024 FY</t>
  </si>
  <si>
    <t>2025 FY</t>
  </si>
  <si>
    <t>Period Ended</t>
  </si>
  <si>
    <t>Currency</t>
  </si>
  <si>
    <t>USD</t>
  </si>
  <si>
    <t>Units</t>
  </si>
  <si>
    <t>Millions</t>
  </si>
  <si>
    <t>Cash and Cash Equivalents</t>
  </si>
  <si>
    <t>Short-term Investments</t>
  </si>
  <si>
    <t>Receivables</t>
  </si>
  <si>
    <t>Other Current Assets</t>
  </si>
  <si>
    <t>Total Current Assets</t>
  </si>
  <si>
    <t>Noncurrent Assets</t>
  </si>
  <si>
    <t>Property and Equipment, net</t>
  </si>
  <si>
    <t>Deferred Income Taxes</t>
  </si>
  <si>
    <t>Goodwill</t>
  </si>
  <si>
    <t>Acquisition Related Intangibles, Net</t>
  </si>
  <si>
    <t>Other Assets</t>
  </si>
  <si>
    <t>Total Assets</t>
  </si>
  <si>
    <t>Accounts Payable</t>
  </si>
  <si>
    <t>Senior Notes, Current, Net</t>
  </si>
  <si>
    <t>NA</t>
  </si>
  <si>
    <t>Deferred Net Revenue-packaged Goods and Digital Content</t>
  </si>
  <si>
    <t>Total Current Liabilities</t>
  </si>
  <si>
    <t>Noncurrent Liabilities</t>
  </si>
  <si>
    <t>Senior Notes, Net</t>
  </si>
  <si>
    <t>Other Liabilities</t>
  </si>
  <si>
    <t>Income Tax Obligations</t>
  </si>
  <si>
    <t>Shareholders' Equity</t>
  </si>
  <si>
    <t>Common Stock - Par Value</t>
  </si>
  <si>
    <t>Retained Earnings (Accumulated Deficit)</t>
  </si>
  <si>
    <t>Accumulated Other Comprehensive Income (Loss)</t>
  </si>
  <si>
    <t>Total Shareholders Equity</t>
  </si>
  <si>
    <t>Total Liabilities &amp; Shareholders Equity</t>
  </si>
  <si>
    <t>`</t>
  </si>
  <si>
    <t>Electronic Arts Inc. | Cash Flow (As Reported)</t>
  </si>
  <si>
    <t>2021 FY</t>
  </si>
  <si>
    <t>2022 FY</t>
  </si>
  <si>
    <t>Operating Activities</t>
  </si>
  <si>
    <t>Depreciation, Amortization, Accretion and Impairment</t>
  </si>
  <si>
    <t>Stock based Compensation</t>
  </si>
  <si>
    <t>Receivables, Net</t>
  </si>
  <si>
    <t>Accounts Payable and Accrued and Other Liabilities</t>
  </si>
  <si>
    <t>Deferred Net Revenue (online Enabled Games)</t>
  </si>
  <si>
    <t>Deferred Income Taxes, Net</t>
  </si>
  <si>
    <t>Accrued and Other Liabilities</t>
  </si>
  <si>
    <t>Cash Flow from Operating Activities</t>
  </si>
  <si>
    <t>Investing Activities</t>
  </si>
  <si>
    <t>Capital Expenditures</t>
  </si>
  <si>
    <t>Acquisitions, Net of Cash Acquired</t>
  </si>
  <si>
    <t>Proceeds from Maturities and Sales of Short-term Investments</t>
  </si>
  <si>
    <t>Change in Short-term Investments, Net</t>
  </si>
  <si>
    <t>Cash Flow from Investing Activities</t>
  </si>
  <si>
    <t>Financing Activities</t>
  </si>
  <si>
    <t>Payment of Senior Notes</t>
  </si>
  <si>
    <t>Proceeds from Issuance of 8 7/8% Senior Notes, Net of Issuance Costs</t>
  </si>
  <si>
    <t>Proceeds from Issuance of Common Stock</t>
  </si>
  <si>
    <t>Purchase of Treasury Shares</t>
  </si>
  <si>
    <t>Cash Paid to Taxing Authorities for Shares Withheld from Employees</t>
  </si>
  <si>
    <t>Common stock repurchases and excise taxes paid</t>
  </si>
  <si>
    <t>Cash Dividends Paid</t>
  </si>
  <si>
    <t>S Corporation Dividends</t>
  </si>
  <si>
    <t>Cash Flow from Financing Activities</t>
  </si>
  <si>
    <t>Foreign Exchange Rate Effect on Cash and Cash Equivalents</t>
  </si>
  <si>
    <t>Cash Flow Net Changes in Cash</t>
  </si>
  <si>
    <t>Electronic Arts Inc. | Income Statement (As Reported)</t>
  </si>
  <si>
    <t>Revenues</t>
  </si>
  <si>
    <t>Net Revenues</t>
  </si>
  <si>
    <t>Expenses</t>
  </si>
  <si>
    <t>Cost of Revenues</t>
  </si>
  <si>
    <t>Marketing and Sales</t>
  </si>
  <si>
    <t>General and Administrative</t>
  </si>
  <si>
    <t>Research and Development</t>
  </si>
  <si>
    <t>Amortization and Impairment of Intangibles</t>
  </si>
  <si>
    <t>Restructuring Charges</t>
  </si>
  <si>
    <t>Gain/loss on Strategic Investments, Net</t>
  </si>
  <si>
    <t>Interest and Other Income/expense, Net</t>
  </si>
  <si>
    <t>Earnings before Taxes</t>
  </si>
  <si>
    <t>Provision for Income Tax</t>
  </si>
  <si>
    <t>Taxes and Other Expenses</t>
  </si>
  <si>
    <t>Net Income (Loss)</t>
  </si>
  <si>
    <t>Other Adjustments to Net Income</t>
  </si>
  <si>
    <t>Supplementary Info</t>
  </si>
  <si>
    <t>Gross Profit/loss</t>
  </si>
  <si>
    <t>Operating Income (Loss)</t>
  </si>
  <si>
    <t>Basic EPS - Continuing Operations</t>
  </si>
  <si>
    <t>Diluted EPS - Continuing Operations</t>
  </si>
  <si>
    <t>Mandatory Principal Repayments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</si>
</sst>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164" formatCode="&quot;$&quot;#,##0_);\(&quot;$&quot;#,##0\)"/>
    <numFmt numFmtId="165" formatCode="_(* #,##0.00_);_(* \(#,##0.00\);_(* &quot;-&quot;??_);_(@_)"/>
    <numFmt numFmtId="166" formatCode="_(0.0\x_);\(0.0\x\);&quot;-&quot;"/>
    <numFmt numFmtId="167" formatCode="\$0.00"/>
    <numFmt numFmtId="168" formatCode="#,##0.##;[Red]\(#,##0.##\)"/>
    <numFmt numFmtId="169" formatCode="###,0##;[Red]\(#,##0.##\)"/>
    <numFmt numFmtId="170" formatCode="#,##0.##;[Red]\(###,0##\)"/>
    <numFmt numFmtId="171" formatCode="#,##0,"/>
    <numFmt numFmtId="172" formatCode="_-* #,##0_-;\(#,##0\)_-;_-* &quot;-&quot;_-;_-@_-"/>
    <numFmt numFmtId="173" formatCode="&quot;Year &quot;0"/>
    <numFmt numFmtId="174" formatCode="#,##0;\(#,##0\)"/>
    <numFmt numFmtId="175" formatCode="#,##0&quot;bps&quot;"/>
    <numFmt numFmtId="176" formatCode="&quot;FY &quot;0&quot;A&quot;"/>
    <numFmt numFmtId="177" formatCode="&quot;FY &quot;0&quot;E&quot;"/>
    <numFmt numFmtId="178" formatCode="&quot;Year &quot;0&quot; (25)&quot;"/>
    <numFmt numFmtId="179" formatCode="_(#,##0_);\(#,##0\);_(&quot;–&quot;_);_(@_)"/>
    <numFmt numFmtId="180" formatCode="0&quot;-Year-Horizon&quot;"/>
    <numFmt numFmtId="181" formatCode="0.0"/>
    <numFmt numFmtId="182" formatCode="\+0.00%"/>
    <numFmt numFmtId="183" formatCode="0.0%"/>
    <numFmt numFmtId="184" formatCode="&quot;B&quot;\+0&quot;bps&quot;_);&quot;B&quot;\-0&quot;bps&quot;_);&quot;B&quot;\+0&quot;bps&quot;_)"/>
    <numFmt numFmtId="185" formatCode="#,##0.0;\(#,##0.0\)"/>
    <numFmt numFmtId="186" formatCode="[=1]&quot;Yes&quot;;[=0]&quot;No&quot;;"/>
    <numFmt numFmtId="187" formatCode="&quot;Year &quot;0&quot; (2027)&quot;"/>
    <numFmt numFmtId="188" formatCode="#,##0.0&quot;x&quot;"/>
    <numFmt numFmtId="189" formatCode="0&quot;E&quot;"/>
    <numFmt numFmtId="190" formatCode="#,##0;\(#,##0\);&quot;-&quot;"/>
    <numFmt numFmtId="191" formatCode="#,##0.00;\(#,##0.00\)"/>
    <numFmt numFmtId="192" formatCode="0%_);\(0%\);0%_);@_)"/>
    <numFmt numFmtId="193" formatCode="#,##0;[Red]\(#,##0\)"/>
    <numFmt numFmtId="194" formatCode="0.0&quot;x&quot;"/>
    <numFmt numFmtId="195" formatCode="#,##0.00;[Red]\(#,##0.00\)"/>
    <numFmt numFmtId="196" formatCode="_(0.00\x_);\(0.00\x\);&quot;-&quot;"/>
    <numFmt numFmtId="197" formatCode="_(0.0\x_);\(0.0\x\);&quot;-&quot;#"/>
    <numFmt numFmtId="198" formatCode="_(#,##0_);\(#,##0\);&quot;-&quot;"/>
    <numFmt numFmtId="199" formatCode="_(0.0%_);\(0.0%\);&quot;-&quot;"/>
    <numFmt numFmtId="200" formatCode="#,##0.000"/>
  </numFmts>
  <fonts count="4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rgb="FF0070C0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1"/>
      <color rgb="FF0070C0"/>
      <name val="Aptos Narrow"/>
      <family val="2"/>
      <scheme val="minor"/>
    </font>
    <font>
      <b/>
      <sz val="14"/>
      <name val="Calibri"/>
      <family val="2"/>
    </font>
    <font>
      <b/>
      <i/>
      <sz val="11"/>
      <color rgb="FF000000"/>
      <name val="Calibri"/>
      <family val="2"/>
    </font>
    <font>
      <sz val="10"/>
      <name val="Arial"/>
      <family val="2"/>
    </font>
    <font>
      <sz val="11"/>
      <color rgb="FF000000"/>
      <name val="Aptos"/>
      <family val="2"/>
    </font>
    <font>
      <sz val="11"/>
      <color theme="1"/>
      <name val="Arial Narrow"/>
      <family val="2"/>
    </font>
    <font>
      <sz val="11"/>
      <name val="Aptos"/>
      <family val="2"/>
    </font>
    <font>
      <sz val="11"/>
      <color rgb="FF00B050"/>
      <name val="Aptos Narrow"/>
      <family val="2"/>
      <scheme val="minor"/>
    </font>
    <font>
      <b/>
      <sz val="11"/>
      <name val="Aptos"/>
      <family val="2"/>
    </font>
    <font>
      <sz val="11"/>
      <color theme="4" tint="-0.249977111117893"/>
      <name val="Aptos Narrow"/>
      <family val="2"/>
      <scheme val="minor"/>
    </font>
    <font>
      <b/>
      <sz val="11"/>
      <color rgb="FF000000"/>
      <name val="Aptos"/>
      <family val="2"/>
    </font>
    <font>
      <sz val="11"/>
      <color rgb="FF00B0F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Aptos Narrow"/>
      <family val="2"/>
      <scheme val="minor"/>
    </font>
    <font>
      <b/>
      <sz val="11"/>
      <color rgb="FF0070C0"/>
      <name val="Aptos"/>
      <family val="2"/>
    </font>
    <font>
      <b/>
      <sz val="11"/>
      <color theme="1"/>
      <name val="Aptos"/>
      <family val="2"/>
    </font>
    <font>
      <b/>
      <sz val="12.5"/>
      <color theme="1"/>
      <name val="Aptos Narrow"/>
      <family val="2"/>
      <scheme val="minor"/>
    </font>
    <font>
      <b/>
      <sz val="11"/>
      <color theme="3" tint="0.499984740745262"/>
      <name val="Aptos"/>
      <family val="2"/>
    </font>
    <font>
      <sz val="12"/>
      <color theme="1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sz val="8"/>
      <color rgb="FFFF000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b/>
      <sz val="14"/>
      <color theme="4" tint="-0.249977111117893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  <font>
      <b/>
      <sz val="11"/>
      <name val="Calibri"/>
      <family val="2"/>
    </font>
    <font>
      <b/>
      <sz val="12.5"/>
      <color rgb="FF000000"/>
      <name val="Aptos"/>
      <family val="2"/>
    </font>
    <font>
      <sz val="11"/>
      <color theme="1"/>
      <name val="Aptos Display"/>
      <family val="2"/>
      <scheme val="major"/>
    </font>
    <font>
      <sz val="11"/>
      <color theme="1"/>
      <name val="Aptos"/>
      <family val="2"/>
    </font>
    <font>
      <b/>
      <sz val="11"/>
      <color rgb="FF7030A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3" tint="0.499984740745262"/>
      <name val="Aptos Narrow"/>
      <family val="2"/>
      <scheme val="minor"/>
    </font>
    <font>
      <sz val="11"/>
      <color rgb="FF000000"/>
      <name val="Calibri"/>
      <family val="2"/>
    </font>
    <font>
      <b/>
      <sz val="24"/>
      <color rgb="FF0070C0"/>
      <name val="Aptos"/>
      <family val="2"/>
    </font>
    <font>
      <sz val="14"/>
      <color rgb="FF000000"/>
      <name val="Times New Roman"/>
      <family val="1"/>
    </font>
    <font>
      <b/>
      <sz val="11"/>
      <color rgb="FF00B0F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70C0"/>
      </bottom>
      <diagonal/>
    </border>
    <border>
      <left/>
      <right/>
      <top style="thin">
        <color rgb="FF0070C0"/>
      </top>
      <bottom style="medium">
        <color rgb="FF0070C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ashDot">
        <color indexed="64"/>
      </right>
      <top/>
      <bottom/>
      <diagonal/>
    </border>
    <border>
      <left style="dashDot">
        <color indexed="64"/>
      </left>
      <right/>
      <top/>
      <bottom style="dashDot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ashDot">
        <color indexed="64"/>
      </right>
      <top style="thin">
        <color indexed="64"/>
      </top>
      <bottom/>
      <diagonal/>
    </border>
    <border>
      <left/>
      <right style="dashDot">
        <color indexed="64"/>
      </right>
      <top/>
      <bottom style="dashDot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Dot">
        <color indexed="64"/>
      </left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 style="dashDot">
        <color indexed="64"/>
      </right>
      <top/>
      <bottom style="dashDot">
        <color indexed="64"/>
      </bottom>
      <diagonal/>
    </border>
    <border>
      <left style="dashDot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/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8" fillId="0" borderId="0"/>
    <xf numFmtId="165" fontId="10" fillId="0" borderId="0" applyFont="0" applyFill="0" applyBorder="0" applyAlignment="0" applyProtection="0"/>
    <xf numFmtId="0" fontId="1" fillId="4" borderId="0" applyNumberFormat="0" applyBorder="0" applyAlignment="0" applyProtection="0"/>
    <xf numFmtId="0" fontId="37" fillId="0" borderId="0" applyNumberFormat="0" applyFill="0" applyBorder="0" applyAlignment="0" applyProtection="0"/>
  </cellStyleXfs>
  <cellXfs count="326">
    <xf numFmtId="0" fontId="0" fillId="0" borderId="0" xfId="0"/>
    <xf numFmtId="0" fontId="3" fillId="2" borderId="0" xfId="0" applyFont="1" applyFill="1"/>
    <xf numFmtId="0" fontId="0" fillId="2" borderId="0" xfId="0" applyFill="1"/>
    <xf numFmtId="0" fontId="4" fillId="0" borderId="0" xfId="0" applyFont="1"/>
    <xf numFmtId="0" fontId="2" fillId="0" borderId="1" xfId="0" applyFont="1" applyBorder="1"/>
    <xf numFmtId="0" fontId="0" fillId="0" borderId="1" xfId="0" applyBorder="1"/>
    <xf numFmtId="0" fontId="0" fillId="0" borderId="0" xfId="0" applyAlignment="1">
      <alignment horizontal="left" indent="1"/>
    </xf>
    <xf numFmtId="166" fontId="0" fillId="0" borderId="0" xfId="0" applyNumberFormat="1"/>
    <xf numFmtId="3" fontId="5" fillId="0" borderId="0" xfId="0" applyNumberFormat="1" applyFont="1"/>
    <xf numFmtId="0" fontId="5" fillId="0" borderId="0" xfId="0" applyFont="1"/>
    <xf numFmtId="3" fontId="0" fillId="0" borderId="0" xfId="0" applyNumberFormat="1"/>
    <xf numFmtId="167" fontId="5" fillId="0" borderId="0" xfId="0" applyNumberFormat="1" applyFont="1"/>
    <xf numFmtId="9" fontId="0" fillId="0" borderId="0" xfId="1" applyFont="1"/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7" fillId="3" borderId="2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right" vertical="top" wrapText="1"/>
    </xf>
    <xf numFmtId="14" fontId="0" fillId="0" borderId="0" xfId="0" applyNumberFormat="1" applyAlignment="1">
      <alignment horizontal="right" vertical="top"/>
    </xf>
    <xf numFmtId="0" fontId="0" fillId="0" borderId="0" xfId="0" applyAlignment="1">
      <alignment horizontal="right" vertical="top"/>
    </xf>
    <xf numFmtId="0" fontId="2" fillId="0" borderId="0" xfId="0" applyFont="1" applyAlignment="1">
      <alignment horizontal="left" vertical="top"/>
    </xf>
    <xf numFmtId="168" fontId="0" fillId="0" borderId="0" xfId="0" applyNumberFormat="1" applyAlignment="1">
      <alignment horizontal="right" vertical="top"/>
    </xf>
    <xf numFmtId="168" fontId="2" fillId="0" borderId="0" xfId="0" applyNumberFormat="1" applyFont="1" applyAlignment="1">
      <alignment horizontal="right" vertical="top"/>
    </xf>
    <xf numFmtId="169" fontId="2" fillId="0" borderId="0" xfId="0" applyNumberFormat="1" applyFont="1" applyAlignment="1">
      <alignment horizontal="right" vertical="top"/>
    </xf>
    <xf numFmtId="170" fontId="0" fillId="0" borderId="0" xfId="0" applyNumberFormat="1" applyAlignment="1">
      <alignment horizontal="right" vertical="top"/>
    </xf>
    <xf numFmtId="169" fontId="0" fillId="0" borderId="0" xfId="0" applyNumberFormat="1" applyAlignment="1">
      <alignment horizontal="right" vertical="top"/>
    </xf>
    <xf numFmtId="0" fontId="2" fillId="0" borderId="0" xfId="0" applyFont="1" applyAlignment="1">
      <alignment horizontal="left" indent="1"/>
    </xf>
    <xf numFmtId="0" fontId="9" fillId="0" borderId="0" xfId="2" applyFont="1" applyAlignment="1">
      <alignment horizontal="left" indent="1"/>
    </xf>
    <xf numFmtId="14" fontId="5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9" fontId="5" fillId="0" borderId="0" xfId="1" applyFont="1"/>
    <xf numFmtId="0" fontId="11" fillId="0" borderId="0" xfId="3" applyNumberFormat="1" applyFont="1" applyFill="1" applyBorder="1" applyAlignment="1" applyProtection="1">
      <alignment horizontal="left" indent="1"/>
      <protection locked="0"/>
    </xf>
    <xf numFmtId="10" fontId="5" fillId="0" borderId="0" xfId="1" applyNumberFormat="1" applyFont="1"/>
    <xf numFmtId="3" fontId="12" fillId="0" borderId="0" xfId="0" applyNumberFormat="1" applyFont="1"/>
    <xf numFmtId="0" fontId="11" fillId="0" borderId="0" xfId="3" applyNumberFormat="1" applyFont="1" applyFill="1" applyAlignment="1" applyProtection="1">
      <alignment horizontal="left" indent="1"/>
      <protection locked="0"/>
    </xf>
    <xf numFmtId="10" fontId="5" fillId="0" borderId="0" xfId="0" applyNumberFormat="1" applyFont="1"/>
    <xf numFmtId="10" fontId="0" fillId="0" borderId="0" xfId="0" applyNumberFormat="1"/>
    <xf numFmtId="0" fontId="13" fillId="0" borderId="0" xfId="3" applyNumberFormat="1" applyFont="1" applyFill="1" applyBorder="1" applyAlignment="1" applyProtection="1">
      <alignment horizontal="left" indent="1"/>
      <protection locked="0"/>
    </xf>
    <xf numFmtId="171" fontId="0" fillId="0" borderId="0" xfId="0" applyNumberFormat="1"/>
    <xf numFmtId="0" fontId="2" fillId="0" borderId="0" xfId="0" applyFont="1"/>
    <xf numFmtId="164" fontId="13" fillId="0" borderId="0" xfId="3" applyNumberFormat="1" applyFont="1" applyAlignment="1" applyProtection="1">
      <alignment horizontal="right"/>
      <protection locked="0"/>
    </xf>
    <xf numFmtId="172" fontId="13" fillId="0" borderId="0" xfId="3" applyNumberFormat="1" applyFont="1" applyAlignment="1" applyProtection="1">
      <alignment horizontal="right"/>
      <protection locked="0"/>
    </xf>
    <xf numFmtId="0" fontId="13" fillId="0" borderId="0" xfId="3" applyNumberFormat="1" applyFont="1" applyFill="1" applyBorder="1" applyAlignment="1" applyProtection="1">
      <alignment horizontal="right"/>
      <protection locked="0"/>
    </xf>
    <xf numFmtId="0" fontId="13" fillId="0" borderId="0" xfId="3" applyNumberFormat="1" applyFont="1" applyFill="1" applyBorder="1" applyAlignment="1" applyProtection="1">
      <alignment horizontal="center"/>
      <protection locked="0"/>
    </xf>
    <xf numFmtId="0" fontId="13" fillId="0" borderId="1" xfId="3" applyNumberFormat="1" applyFont="1" applyBorder="1" applyAlignment="1" applyProtection="1">
      <alignment horizontal="right"/>
      <protection locked="0"/>
    </xf>
    <xf numFmtId="0" fontId="13" fillId="0" borderId="1" xfId="3" applyNumberFormat="1" applyFont="1" applyFill="1" applyBorder="1" applyAlignment="1" applyProtection="1">
      <alignment horizontal="center"/>
      <protection locked="0"/>
    </xf>
    <xf numFmtId="0" fontId="14" fillId="0" borderId="0" xfId="0" applyFont="1"/>
    <xf numFmtId="172" fontId="13" fillId="0" borderId="0" xfId="3" applyNumberFormat="1" applyFont="1" applyBorder="1" applyAlignment="1" applyProtection="1">
      <alignment horizontal="center"/>
      <protection locked="0"/>
    </xf>
    <xf numFmtId="0" fontId="13" fillId="0" borderId="0" xfId="3" applyNumberFormat="1" applyFont="1" applyBorder="1" applyAlignment="1" applyProtection="1">
      <alignment horizontal="centerContinuous"/>
      <protection locked="0"/>
    </xf>
    <xf numFmtId="0" fontId="11" fillId="0" borderId="0" xfId="2" applyFont="1" applyAlignment="1">
      <alignment horizontal="centerContinuous"/>
    </xf>
    <xf numFmtId="0" fontId="15" fillId="0" borderId="1" xfId="3" applyNumberFormat="1" applyFont="1" applyFill="1" applyBorder="1" applyAlignment="1" applyProtection="1">
      <alignment horizontal="center"/>
      <protection locked="0"/>
    </xf>
    <xf numFmtId="49" fontId="15" fillId="0" borderId="1" xfId="3" applyNumberFormat="1" applyFont="1" applyFill="1" applyBorder="1" applyAlignment="1" applyProtection="1">
      <alignment horizontal="center"/>
      <protection locked="0"/>
    </xf>
    <xf numFmtId="173" fontId="15" fillId="0" borderId="3" xfId="1" applyNumberFormat="1" applyFont="1" applyFill="1" applyBorder="1" applyAlignment="1" applyProtection="1">
      <alignment horizontal="right" wrapText="1"/>
      <protection locked="0"/>
    </xf>
    <xf numFmtId="0" fontId="16" fillId="0" borderId="0" xfId="0" applyFont="1"/>
    <xf numFmtId="0" fontId="6" fillId="0" borderId="0" xfId="0" applyFont="1" applyAlignment="1">
      <alignment horizontal="left"/>
    </xf>
    <xf numFmtId="174" fontId="0" fillId="0" borderId="0" xfId="0" applyNumberFormat="1"/>
    <xf numFmtId="3" fontId="19" fillId="0" borderId="0" xfId="0" applyNumberFormat="1" applyFont="1"/>
    <xf numFmtId="3" fontId="2" fillId="0" borderId="0" xfId="0" applyNumberFormat="1" applyFont="1"/>
    <xf numFmtId="166" fontId="2" fillId="0" borderId="0" xfId="0" applyNumberFormat="1" applyFont="1"/>
    <xf numFmtId="3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Alignment="1">
      <alignment horizontal="center" vertical="top"/>
    </xf>
    <xf numFmtId="176" fontId="20" fillId="0" borderId="4" xfId="0" applyNumberFormat="1" applyFont="1" applyBorder="1" applyAlignment="1">
      <alignment horizontal="right"/>
    </xf>
    <xf numFmtId="0" fontId="3" fillId="2" borderId="0" xfId="4" applyFont="1" applyFill="1" applyAlignment="1"/>
    <xf numFmtId="0" fontId="1" fillId="2" borderId="0" xfId="4" applyFill="1" applyAlignment="1"/>
    <xf numFmtId="176" fontId="20" fillId="0" borderId="4" xfId="0" applyNumberFormat="1" applyFont="1" applyBorder="1"/>
    <xf numFmtId="10" fontId="0" fillId="0" borderId="0" xfId="1" applyNumberFormat="1" applyFont="1" applyAlignment="1"/>
    <xf numFmtId="168" fontId="2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168" fontId="0" fillId="0" borderId="0" xfId="0" applyNumberFormat="1" applyAlignment="1">
      <alignment vertical="top"/>
    </xf>
    <xf numFmtId="0" fontId="2" fillId="0" borderId="0" xfId="0" applyFont="1" applyAlignment="1">
      <alignment vertical="top"/>
    </xf>
    <xf numFmtId="0" fontId="0" fillId="5" borderId="0" xfId="0" applyFill="1"/>
    <xf numFmtId="0" fontId="9" fillId="0" borderId="0" xfId="0" applyFont="1"/>
    <xf numFmtId="0" fontId="15" fillId="0" borderId="0" xfId="0" applyFont="1"/>
    <xf numFmtId="177" fontId="21" fillId="0" borderId="5" xfId="0" applyNumberFormat="1" applyFont="1" applyBorder="1"/>
    <xf numFmtId="0" fontId="22" fillId="0" borderId="0" xfId="0" applyFont="1"/>
    <xf numFmtId="177" fontId="23" fillId="0" borderId="5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8" xfId="0" applyFont="1" applyBorder="1" applyAlignment="1">
      <alignment horizontal="center"/>
    </xf>
    <xf numFmtId="178" fontId="2" fillId="0" borderId="8" xfId="0" applyNumberFormat="1" applyFont="1" applyBorder="1" applyAlignment="1">
      <alignment horizontal="center"/>
    </xf>
    <xf numFmtId="173" fontId="2" fillId="0" borderId="8" xfId="0" applyNumberFormat="1" applyFont="1" applyBorder="1" applyAlignment="1">
      <alignment horizontal="center"/>
    </xf>
    <xf numFmtId="174" fontId="12" fillId="0" borderId="0" xfId="0" applyNumberFormat="1" applyFont="1" applyAlignment="1">
      <alignment horizontal="center"/>
    </xf>
    <xf numFmtId="179" fontId="0" fillId="0" borderId="0" xfId="0" applyNumberFormat="1" applyAlignment="1">
      <alignment horizontal="center"/>
    </xf>
    <xf numFmtId="174" fontId="0" fillId="0" borderId="0" xfId="0" applyNumberFormat="1" applyAlignment="1">
      <alignment horizontal="center"/>
    </xf>
    <xf numFmtId="181" fontId="0" fillId="0" borderId="0" xfId="0" applyNumberFormat="1"/>
    <xf numFmtId="0" fontId="24" fillId="2" borderId="0" xfId="4" applyFont="1" applyFill="1" applyAlignment="1"/>
    <xf numFmtId="0" fontId="25" fillId="2" borderId="0" xfId="4" applyFont="1" applyFill="1" applyAlignment="1"/>
    <xf numFmtId="174" fontId="5" fillId="0" borderId="0" xfId="0" applyNumberFormat="1" applyFont="1"/>
    <xf numFmtId="0" fontId="2" fillId="0" borderId="0" xfId="0" applyFont="1" applyAlignment="1">
      <alignment horizontal="right" vertical="top"/>
    </xf>
    <xf numFmtId="183" fontId="0" fillId="0" borderId="0" xfId="1" applyNumberFormat="1" applyFont="1" applyAlignment="1"/>
    <xf numFmtId="10" fontId="0" fillId="0" borderId="0" xfId="1" applyNumberFormat="1" applyFont="1"/>
    <xf numFmtId="184" fontId="12" fillId="0" borderId="0" xfId="0" applyNumberFormat="1" applyFont="1"/>
    <xf numFmtId="0" fontId="26" fillId="0" borderId="0" xfId="0" applyFont="1"/>
    <xf numFmtId="0" fontId="0" fillId="6" borderId="10" xfId="0" applyFill="1" applyBorder="1"/>
    <xf numFmtId="0" fontId="0" fillId="6" borderId="11" xfId="0" applyFill="1" applyBorder="1"/>
    <xf numFmtId="0" fontId="2" fillId="0" borderId="0" xfId="0" applyFont="1" applyAlignment="1">
      <alignment horizontal="center"/>
    </xf>
    <xf numFmtId="183" fontId="0" fillId="0" borderId="3" xfId="1" applyNumberFormat="1" applyFont="1" applyBorder="1"/>
    <xf numFmtId="10" fontId="0" fillId="0" borderId="3" xfId="1" applyNumberFormat="1" applyFont="1" applyBorder="1"/>
    <xf numFmtId="183" fontId="0" fillId="0" borderId="0" xfId="1" applyNumberFormat="1" applyFont="1"/>
    <xf numFmtId="10" fontId="12" fillId="0" borderId="0" xfId="1" applyNumberFormat="1" applyFont="1"/>
    <xf numFmtId="10" fontId="12" fillId="0" borderId="6" xfId="0" applyNumberFormat="1" applyFont="1" applyBorder="1"/>
    <xf numFmtId="10" fontId="12" fillId="0" borderId="3" xfId="1" applyNumberFormat="1" applyFont="1" applyBorder="1"/>
    <xf numFmtId="10" fontId="12" fillId="0" borderId="6" xfId="1" applyNumberFormat="1" applyFont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183" fontId="0" fillId="0" borderId="15" xfId="1" applyNumberFormat="1" applyFont="1" applyBorder="1"/>
    <xf numFmtId="183" fontId="16" fillId="0" borderId="0" xfId="1" applyNumberFormat="1" applyFont="1"/>
    <xf numFmtId="0" fontId="27" fillId="0" borderId="19" xfId="0" applyFont="1" applyBorder="1"/>
    <xf numFmtId="181" fontId="12" fillId="0" borderId="0" xfId="0" applyNumberFormat="1" applyFont="1"/>
    <xf numFmtId="10" fontId="16" fillId="0" borderId="0" xfId="1" applyNumberFormat="1" applyFont="1"/>
    <xf numFmtId="10" fontId="0" fillId="0" borderId="11" xfId="1" applyNumberFormat="1" applyFont="1" applyBorder="1"/>
    <xf numFmtId="10" fontId="0" fillId="0" borderId="12" xfId="1" applyNumberFormat="1" applyFont="1" applyBorder="1"/>
    <xf numFmtId="183" fontId="0" fillId="0" borderId="0" xfId="1" applyNumberFormat="1" applyFont="1" applyBorder="1"/>
    <xf numFmtId="182" fontId="16" fillId="0" borderId="0" xfId="1" applyNumberFormat="1" applyFont="1" applyBorder="1" applyAlignment="1">
      <alignment horizontal="center"/>
    </xf>
    <xf numFmtId="10" fontId="12" fillId="0" borderId="0" xfId="1" applyNumberFormat="1" applyFont="1" applyBorder="1"/>
    <xf numFmtId="10" fontId="0" fillId="0" borderId="0" xfId="1" applyNumberFormat="1" applyFont="1" applyBorder="1"/>
    <xf numFmtId="174" fontId="12" fillId="0" borderId="0" xfId="0" applyNumberFormat="1" applyFont="1"/>
    <xf numFmtId="174" fontId="2" fillId="0" borderId="0" xfId="0" applyNumberFormat="1" applyFont="1"/>
    <xf numFmtId="185" fontId="0" fillId="0" borderId="0" xfId="0" applyNumberFormat="1"/>
    <xf numFmtId="174" fontId="0" fillId="5" borderId="0" xfId="0" applyNumberFormat="1" applyFill="1"/>
    <xf numFmtId="0" fontId="2" fillId="0" borderId="20" xfId="0" applyFont="1" applyBorder="1" applyAlignment="1">
      <alignment horizontal="center"/>
    </xf>
    <xf numFmtId="174" fontId="0" fillId="0" borderId="8" xfId="0" applyNumberFormat="1" applyBorder="1"/>
    <xf numFmtId="174" fontId="12" fillId="0" borderId="8" xfId="0" applyNumberFormat="1" applyFont="1" applyBorder="1"/>
    <xf numFmtId="186" fontId="0" fillId="0" borderId="3" xfId="0" applyNumberFormat="1" applyBorder="1" applyAlignment="1">
      <alignment horizontal="right"/>
    </xf>
    <xf numFmtId="186" fontId="0" fillId="0" borderId="7" xfId="0" applyNumberFormat="1" applyBorder="1" applyAlignment="1">
      <alignment horizontal="right"/>
    </xf>
    <xf numFmtId="10" fontId="12" fillId="0" borderId="0" xfId="0" applyNumberFormat="1" applyFont="1"/>
    <xf numFmtId="0" fontId="27" fillId="0" borderId="20" xfId="0" applyFont="1" applyBorder="1" applyAlignment="1">
      <alignment horizontal="center"/>
    </xf>
    <xf numFmtId="10" fontId="12" fillId="0" borderId="21" xfId="0" applyNumberFormat="1" applyFont="1" applyBorder="1" applyAlignment="1">
      <alignment horizontal="center"/>
    </xf>
    <xf numFmtId="174" fontId="0" fillId="0" borderId="13" xfId="0" applyNumberFormat="1" applyBorder="1"/>
    <xf numFmtId="3" fontId="28" fillId="0" borderId="0" xfId="0" applyNumberFormat="1" applyFont="1"/>
    <xf numFmtId="183" fontId="12" fillId="0" borderId="23" xfId="1" applyNumberFormat="1" applyFont="1" applyBorder="1"/>
    <xf numFmtId="183" fontId="12" fillId="0" borderId="24" xfId="1" applyNumberFormat="1" applyFont="1" applyBorder="1"/>
    <xf numFmtId="0" fontId="0" fillId="0" borderId="0" xfId="0" applyAlignment="1">
      <alignment horizontal="right"/>
    </xf>
    <xf numFmtId="0" fontId="0" fillId="0" borderId="15" xfId="0" applyBorder="1" applyAlignment="1">
      <alignment horizontal="right"/>
    </xf>
    <xf numFmtId="0" fontId="0" fillId="0" borderId="18" xfId="0" applyBorder="1" applyAlignment="1">
      <alignment horizontal="right"/>
    </xf>
    <xf numFmtId="174" fontId="28" fillId="0" borderId="0" xfId="0" applyNumberFormat="1" applyFont="1"/>
    <xf numFmtId="179" fontId="0" fillId="0" borderId="0" xfId="0" applyNumberFormat="1"/>
    <xf numFmtId="179" fontId="12" fillId="0" borderId="22" xfId="1" applyNumberFormat="1" applyFont="1" applyBorder="1" applyAlignment="1">
      <alignment horizontal="center"/>
    </xf>
    <xf numFmtId="179" fontId="0" fillId="0" borderId="25" xfId="0" applyNumberFormat="1" applyBorder="1" applyAlignment="1">
      <alignment horizontal="center"/>
    </xf>
    <xf numFmtId="179" fontId="0" fillId="0" borderId="14" xfId="0" applyNumberFormat="1" applyBorder="1" applyAlignment="1">
      <alignment horizontal="center"/>
    </xf>
    <xf numFmtId="179" fontId="2" fillId="0" borderId="0" xfId="0" applyNumberFormat="1" applyFont="1" applyAlignment="1">
      <alignment horizontal="center"/>
    </xf>
    <xf numFmtId="177" fontId="21" fillId="0" borderId="5" xfId="0" applyNumberFormat="1" applyFont="1" applyBorder="1" applyAlignment="1">
      <alignment horizontal="right"/>
    </xf>
    <xf numFmtId="179" fontId="19" fillId="0" borderId="8" xfId="0" applyNumberFormat="1" applyFont="1" applyBorder="1" applyAlignment="1">
      <alignment horizontal="center"/>
    </xf>
    <xf numFmtId="179" fontId="0" fillId="0" borderId="6" xfId="0" applyNumberFormat="1" applyBorder="1" applyAlignment="1">
      <alignment horizontal="center"/>
    </xf>
    <xf numFmtId="179" fontId="0" fillId="0" borderId="0" xfId="0" applyNumberFormat="1" applyAlignment="1">
      <alignment horizontal="right"/>
    </xf>
    <xf numFmtId="186" fontId="0" fillId="0" borderId="15" xfId="0" applyNumberFormat="1" applyBorder="1"/>
    <xf numFmtId="186" fontId="0" fillId="0" borderId="18" xfId="0" applyNumberFormat="1" applyBorder="1"/>
    <xf numFmtId="166" fontId="12" fillId="0" borderId="0" xfId="0" applyNumberFormat="1" applyFont="1"/>
    <xf numFmtId="3" fontId="0" fillId="5" borderId="0" xfId="0" applyNumberFormat="1" applyFill="1"/>
    <xf numFmtId="166" fontId="12" fillId="5" borderId="0" xfId="0" applyNumberFormat="1" applyFont="1" applyFill="1"/>
    <xf numFmtId="0" fontId="0" fillId="2" borderId="0" xfId="4" applyFont="1" applyFill="1"/>
    <xf numFmtId="180" fontId="0" fillId="0" borderId="0" xfId="0" applyNumberFormat="1" applyAlignment="1">
      <alignment horizontal="center"/>
    </xf>
    <xf numFmtId="0" fontId="0" fillId="0" borderId="8" xfId="0" applyBorder="1" applyAlignment="1">
      <alignment horizontal="center"/>
    </xf>
    <xf numFmtId="9" fontId="0" fillId="0" borderId="0" xfId="1" applyFont="1" applyAlignment="1">
      <alignment horizontal="center"/>
    </xf>
    <xf numFmtId="183" fontId="16" fillId="0" borderId="0" xfId="1" applyNumberFormat="1" applyFont="1" applyBorder="1"/>
    <xf numFmtId="9" fontId="0" fillId="0" borderId="0" xfId="1" applyFont="1" applyBorder="1"/>
    <xf numFmtId="166" fontId="0" fillId="0" borderId="0" xfId="0" applyNumberFormat="1" applyAlignment="1">
      <alignment horizontal="center"/>
    </xf>
    <xf numFmtId="3" fontId="5" fillId="0" borderId="0" xfId="0" applyNumberFormat="1" applyFont="1" applyAlignment="1">
      <alignment horizontal="center"/>
    </xf>
    <xf numFmtId="10" fontId="5" fillId="0" borderId="0" xfId="1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175" fontId="5" fillId="0" borderId="0" xfId="1" applyNumberFormat="1" applyFont="1" applyAlignment="1">
      <alignment horizontal="center"/>
    </xf>
    <xf numFmtId="174" fontId="2" fillId="0" borderId="1" xfId="0" applyNumberFormat="1" applyFont="1" applyBorder="1"/>
    <xf numFmtId="3" fontId="2" fillId="0" borderId="1" xfId="0" applyNumberFormat="1" applyFont="1" applyBorder="1"/>
    <xf numFmtId="183" fontId="0" fillId="0" borderId="0" xfId="0" applyNumberFormat="1"/>
    <xf numFmtId="9" fontId="0" fillId="0" borderId="16" xfId="1" applyFont="1" applyBorder="1"/>
    <xf numFmtId="183" fontId="0" fillId="0" borderId="13" xfId="1" applyNumberFormat="1" applyFont="1" applyBorder="1"/>
    <xf numFmtId="183" fontId="16" fillId="0" borderId="13" xfId="1" applyNumberFormat="1" applyFont="1" applyBorder="1"/>
    <xf numFmtId="183" fontId="0" fillId="0" borderId="17" xfId="1" applyNumberFormat="1" applyFont="1" applyBorder="1"/>
    <xf numFmtId="183" fontId="0" fillId="0" borderId="18" xfId="1" applyNumberFormat="1" applyFont="1" applyBorder="1"/>
    <xf numFmtId="183" fontId="0" fillId="0" borderId="16" xfId="1" applyNumberFormat="1" applyFont="1" applyBorder="1"/>
    <xf numFmtId="10" fontId="19" fillId="0" borderId="3" xfId="1" applyNumberFormat="1" applyFont="1" applyBorder="1"/>
    <xf numFmtId="10" fontId="19" fillId="0" borderId="0" xfId="1" applyNumberFormat="1" applyFont="1" applyBorder="1"/>
    <xf numFmtId="10" fontId="0" fillId="0" borderId="12" xfId="0" applyNumberFormat="1" applyBorder="1"/>
    <xf numFmtId="179" fontId="0" fillId="0" borderId="8" xfId="0" applyNumberFormat="1" applyBorder="1" applyAlignment="1">
      <alignment horizontal="right"/>
    </xf>
    <xf numFmtId="179" fontId="12" fillId="0" borderId="0" xfId="0" applyNumberFormat="1" applyFont="1" applyAlignment="1">
      <alignment horizontal="right"/>
    </xf>
    <xf numFmtId="183" fontId="19" fillId="0" borderId="13" xfId="1" applyNumberFormat="1" applyFont="1" applyBorder="1"/>
    <xf numFmtId="187" fontId="15" fillId="0" borderId="3" xfId="1" applyNumberFormat="1" applyFont="1" applyFill="1" applyBorder="1" applyAlignment="1" applyProtection="1">
      <alignment horizontal="right" wrapText="1"/>
      <protection locked="0"/>
    </xf>
    <xf numFmtId="0" fontId="29" fillId="2" borderId="0" xfId="0" applyFont="1" applyFill="1"/>
    <xf numFmtId="0" fontId="12" fillId="0" borderId="0" xfId="0" applyFont="1"/>
    <xf numFmtId="0" fontId="12" fillId="0" borderId="1" xfId="0" applyFont="1" applyBorder="1"/>
    <xf numFmtId="0" fontId="0" fillId="0" borderId="6" xfId="0" applyBorder="1"/>
    <xf numFmtId="0" fontId="0" fillId="0" borderId="3" xfId="0" applyBorder="1"/>
    <xf numFmtId="9" fontId="12" fillId="0" borderId="7" xfId="0" applyNumberFormat="1" applyFont="1" applyBorder="1"/>
    <xf numFmtId="9" fontId="12" fillId="0" borderId="0" xfId="0" applyNumberFormat="1" applyFont="1"/>
    <xf numFmtId="189" fontId="21" fillId="0" borderId="5" xfId="0" applyNumberFormat="1" applyFont="1" applyBorder="1"/>
    <xf numFmtId="0" fontId="27" fillId="0" borderId="0" xfId="0" applyFont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0" fillId="0" borderId="1" xfId="0" applyFont="1" applyBorder="1"/>
    <xf numFmtId="166" fontId="5" fillId="0" borderId="0" xfId="0" applyNumberFormat="1" applyFont="1"/>
    <xf numFmtId="190" fontId="0" fillId="0" borderId="0" xfId="0" applyNumberFormat="1" applyAlignment="1">
      <alignment horizontal="center"/>
    </xf>
    <xf numFmtId="0" fontId="32" fillId="7" borderId="0" xfId="0" applyFont="1" applyFill="1" applyAlignment="1">
      <alignment horizontal="left" vertical="top"/>
    </xf>
    <xf numFmtId="0" fontId="32" fillId="7" borderId="0" xfId="0" applyFont="1" applyFill="1" applyAlignment="1">
      <alignment horizontal="right" vertical="top"/>
    </xf>
    <xf numFmtId="14" fontId="0" fillId="0" borderId="0" xfId="0" applyNumberFormat="1" applyAlignment="1">
      <alignment horizontal="left" vertical="top" wrapText="1"/>
    </xf>
    <xf numFmtId="191" fontId="0" fillId="0" borderId="0" xfId="0" applyNumberFormat="1" applyAlignment="1">
      <alignment horizontal="right" vertical="top" wrapText="1"/>
    </xf>
    <xf numFmtId="174" fontId="0" fillId="0" borderId="0" xfId="0" applyNumberFormat="1" applyAlignment="1">
      <alignment horizontal="right" vertical="top" wrapText="1"/>
    </xf>
    <xf numFmtId="192" fontId="0" fillId="0" borderId="0" xfId="0" applyNumberFormat="1"/>
    <xf numFmtId="10" fontId="5" fillId="0" borderId="0" xfId="1" applyNumberFormat="1" applyFont="1" applyAlignment="1">
      <alignment horizontal="right"/>
    </xf>
    <xf numFmtId="3" fontId="19" fillId="0" borderId="0" xfId="0" applyNumberFormat="1" applyFont="1" applyAlignment="1">
      <alignment horizontal="center"/>
    </xf>
    <xf numFmtId="0" fontId="3" fillId="2" borderId="0" xfId="4" applyFont="1" applyFill="1"/>
    <xf numFmtId="0" fontId="33" fillId="0" borderId="0" xfId="0" applyFont="1"/>
    <xf numFmtId="179" fontId="2" fillId="5" borderId="22" xfId="0" applyNumberFormat="1" applyFont="1" applyFill="1" applyBorder="1" applyAlignment="1">
      <alignment horizontal="center"/>
    </xf>
    <xf numFmtId="174" fontId="2" fillId="5" borderId="23" xfId="0" applyNumberFormat="1" applyFont="1" applyFill="1" applyBorder="1"/>
    <xf numFmtId="179" fontId="2" fillId="5" borderId="14" xfId="0" applyNumberFormat="1" applyFont="1" applyFill="1" applyBorder="1" applyAlignment="1">
      <alignment horizontal="center"/>
    </xf>
    <xf numFmtId="174" fontId="2" fillId="5" borderId="15" xfId="0" applyNumberFormat="1" applyFont="1" applyFill="1" applyBorder="1"/>
    <xf numFmtId="174" fontId="16" fillId="0" borderId="15" xfId="0" applyNumberFormat="1" applyFont="1" applyBorder="1" applyAlignment="1">
      <alignment horizontal="right"/>
    </xf>
    <xf numFmtId="174" fontId="16" fillId="0" borderId="18" xfId="0" applyNumberFormat="1" applyFont="1" applyBorder="1" applyAlignment="1">
      <alignment horizontal="right"/>
    </xf>
    <xf numFmtId="179" fontId="2" fillId="5" borderId="0" xfId="0" applyNumberFormat="1" applyFont="1" applyFill="1" applyAlignment="1">
      <alignment horizontal="center"/>
    </xf>
    <xf numFmtId="174" fontId="2" fillId="5" borderId="0" xfId="0" applyNumberFormat="1" applyFont="1" applyFill="1"/>
    <xf numFmtId="174" fontId="16" fillId="0" borderId="0" xfId="0" applyNumberFormat="1" applyFont="1" applyAlignment="1">
      <alignment horizontal="right"/>
    </xf>
    <xf numFmtId="179" fontId="2" fillId="8" borderId="0" xfId="0" applyNumberFormat="1" applyFont="1" applyFill="1" applyAlignment="1">
      <alignment horizontal="center"/>
    </xf>
    <xf numFmtId="174" fontId="2" fillId="8" borderId="0" xfId="0" applyNumberFormat="1" applyFont="1" applyFill="1"/>
    <xf numFmtId="174" fontId="12" fillId="0" borderId="0" xfId="0" applyNumberFormat="1" applyFont="1" applyAlignment="1">
      <alignment horizontal="right"/>
    </xf>
    <xf numFmtId="174" fontId="0" fillId="0" borderId="0" xfId="0" applyNumberFormat="1" applyAlignment="1">
      <alignment horizontal="right"/>
    </xf>
    <xf numFmtId="183" fontId="12" fillId="0" borderId="0" xfId="1" applyNumberFormat="1" applyFont="1" applyBorder="1" applyAlignment="1">
      <alignment horizontal="right"/>
    </xf>
    <xf numFmtId="181" fontId="2" fillId="0" borderId="0" xfId="0" applyNumberFormat="1" applyFont="1"/>
    <xf numFmtId="0" fontId="0" fillId="8" borderId="0" xfId="0" applyFill="1"/>
    <xf numFmtId="193" fontId="0" fillId="0" borderId="0" xfId="0" applyNumberFormat="1"/>
    <xf numFmtId="193" fontId="0" fillId="0" borderId="0" xfId="0" applyNumberFormat="1" applyAlignment="1">
      <alignment horizontal="right" vertical="top" wrapText="1"/>
    </xf>
    <xf numFmtId="0" fontId="34" fillId="0" borderId="0" xfId="0" applyFont="1"/>
    <xf numFmtId="181" fontId="35" fillId="0" borderId="0" xfId="0" applyNumberFormat="1" applyFont="1"/>
    <xf numFmtId="194" fontId="0" fillId="0" borderId="0" xfId="0" applyNumberFormat="1"/>
    <xf numFmtId="3" fontId="35" fillId="0" borderId="0" xfId="0" applyNumberFormat="1" applyFont="1"/>
    <xf numFmtId="3" fontId="0" fillId="0" borderId="0" xfId="1" applyNumberFormat="1" applyFont="1"/>
    <xf numFmtId="195" fontId="0" fillId="0" borderId="0" xfId="0" applyNumberFormat="1" applyAlignment="1">
      <alignment horizontal="right" vertical="top" wrapText="1"/>
    </xf>
    <xf numFmtId="9" fontId="0" fillId="0" borderId="0" xfId="0" applyNumberFormat="1"/>
    <xf numFmtId="0" fontId="0" fillId="0" borderId="1" xfId="0" applyBorder="1" applyAlignment="1">
      <alignment horizontal="left" indent="1"/>
    </xf>
    <xf numFmtId="0" fontId="36" fillId="0" borderId="1" xfId="0" applyFont="1" applyBorder="1"/>
    <xf numFmtId="3" fontId="0" fillId="0" borderId="1" xfId="0" applyNumberFormat="1" applyBorder="1"/>
    <xf numFmtId="166" fontId="0" fillId="0" borderId="1" xfId="0" applyNumberFormat="1" applyBorder="1"/>
    <xf numFmtId="196" fontId="0" fillId="0" borderId="26" xfId="0" applyNumberFormat="1" applyBorder="1" applyAlignment="1">
      <alignment horizontal="center"/>
    </xf>
    <xf numFmtId="197" fontId="0" fillId="0" borderId="26" xfId="0" applyNumberFormat="1" applyBorder="1" applyAlignment="1">
      <alignment horizontal="center"/>
    </xf>
    <xf numFmtId="196" fontId="0" fillId="0" borderId="27" xfId="0" applyNumberFormat="1" applyBorder="1" applyAlignment="1">
      <alignment horizontal="center"/>
    </xf>
    <xf numFmtId="197" fontId="0" fillId="0" borderId="27" xfId="0" applyNumberFormat="1" applyBorder="1" applyAlignment="1">
      <alignment horizontal="center"/>
    </xf>
    <xf numFmtId="196" fontId="16" fillId="0" borderId="27" xfId="0" applyNumberFormat="1" applyFont="1" applyBorder="1" applyAlignment="1">
      <alignment horizontal="center"/>
    </xf>
    <xf numFmtId="197" fontId="2" fillId="0" borderId="27" xfId="0" applyNumberFormat="1" applyFont="1" applyBorder="1" applyAlignment="1">
      <alignment horizontal="center"/>
    </xf>
    <xf numFmtId="196" fontId="0" fillId="0" borderId="28" xfId="0" applyNumberFormat="1" applyBorder="1" applyAlignment="1">
      <alignment horizontal="center"/>
    </xf>
    <xf numFmtId="197" fontId="0" fillId="0" borderId="28" xfId="0" applyNumberFormat="1" applyBorder="1" applyAlignment="1">
      <alignment horizontal="center"/>
    </xf>
    <xf numFmtId="196" fontId="16" fillId="0" borderId="29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9" fontId="12" fillId="0" borderId="0" xfId="0" applyNumberFormat="1" applyFont="1" applyAlignment="1">
      <alignment horizontal="center"/>
    </xf>
    <xf numFmtId="166" fontId="12" fillId="0" borderId="0" xfId="0" applyNumberFormat="1" applyFont="1" applyAlignment="1">
      <alignment horizontal="center"/>
    </xf>
    <xf numFmtId="9" fontId="38" fillId="0" borderId="0" xfId="0" applyNumberFormat="1" applyFont="1"/>
    <xf numFmtId="188" fontId="38" fillId="0" borderId="0" xfId="0" applyNumberFormat="1" applyFont="1"/>
    <xf numFmtId="0" fontId="39" fillId="2" borderId="0" xfId="0" applyFont="1" applyFill="1"/>
    <xf numFmtId="0" fontId="40" fillId="0" borderId="30" xfId="0" applyFont="1" applyBorder="1"/>
    <xf numFmtId="0" fontId="40" fillId="0" borderId="31" xfId="0" applyFont="1" applyBorder="1"/>
    <xf numFmtId="0" fontId="40" fillId="0" borderId="32" xfId="0" applyFont="1" applyBorder="1"/>
    <xf numFmtId="0" fontId="40" fillId="0" borderId="33" xfId="0" applyFont="1" applyBorder="1"/>
    <xf numFmtId="0" fontId="40" fillId="0" borderId="0" xfId="0" applyFont="1"/>
    <xf numFmtId="0" fontId="40" fillId="0" borderId="34" xfId="0" applyFont="1" applyBorder="1"/>
    <xf numFmtId="0" fontId="42" fillId="0" borderId="0" xfId="0" applyFont="1"/>
    <xf numFmtId="0" fontId="37" fillId="0" borderId="33" xfId="5" applyBorder="1"/>
    <xf numFmtId="0" fontId="37" fillId="0" borderId="35" xfId="5" applyBorder="1"/>
    <xf numFmtId="0" fontId="40" fillId="0" borderId="36" xfId="0" applyFont="1" applyBorder="1"/>
    <xf numFmtId="0" fontId="40" fillId="0" borderId="37" xfId="0" applyFont="1" applyBorder="1"/>
    <xf numFmtId="198" fontId="0" fillId="0" borderId="0" xfId="0" applyNumberFormat="1"/>
    <xf numFmtId="174" fontId="5" fillId="0" borderId="0" xfId="0" applyNumberFormat="1" applyFont="1" applyAlignment="1">
      <alignment horizontal="right"/>
    </xf>
    <xf numFmtId="166" fontId="2" fillId="0" borderId="0" xfId="0" applyNumberFormat="1" applyFont="1" applyAlignment="1">
      <alignment horizontal="right"/>
    </xf>
    <xf numFmtId="166" fontId="43" fillId="0" borderId="0" xfId="0" applyNumberFormat="1" applyFont="1" applyAlignment="1">
      <alignment horizontal="right"/>
    </xf>
    <xf numFmtId="0" fontId="2" fillId="0" borderId="9" xfId="0" applyFont="1" applyBorder="1"/>
    <xf numFmtId="196" fontId="28" fillId="0" borderId="38" xfId="0" applyNumberFormat="1" applyFont="1" applyBorder="1" applyAlignment="1">
      <alignment horizontal="center"/>
    </xf>
    <xf numFmtId="10" fontId="5" fillId="0" borderId="10" xfId="1" applyNumberFormat="1" applyFont="1" applyBorder="1"/>
    <xf numFmtId="10" fontId="5" fillId="0" borderId="11" xfId="1" applyNumberFormat="1" applyFont="1" applyBorder="1"/>
    <xf numFmtId="10" fontId="5" fillId="0" borderId="12" xfId="1" applyNumberFormat="1" applyFont="1" applyBorder="1"/>
    <xf numFmtId="183" fontId="5" fillId="0" borderId="0" xfId="1" applyNumberFormat="1" applyFont="1"/>
    <xf numFmtId="183" fontId="5" fillId="0" borderId="7" xfId="1" applyNumberFormat="1" applyFont="1" applyBorder="1"/>
    <xf numFmtId="10" fontId="5" fillId="0" borderId="3" xfId="1" applyNumberFormat="1" applyFont="1" applyBorder="1"/>
    <xf numFmtId="10" fontId="5" fillId="0" borderId="0" xfId="1" applyNumberFormat="1" applyFont="1" applyBorder="1"/>
    <xf numFmtId="182" fontId="5" fillId="0" borderId="9" xfId="1" applyNumberFormat="1" applyFont="1" applyBorder="1" applyAlignment="1">
      <alignment horizontal="center"/>
    </xf>
    <xf numFmtId="10" fontId="5" fillId="0" borderId="9" xfId="1" quotePrefix="1" applyNumberFormat="1" applyFont="1" applyBorder="1" applyAlignment="1">
      <alignment horizontal="center"/>
    </xf>
    <xf numFmtId="10" fontId="5" fillId="0" borderId="9" xfId="1" applyNumberFormat="1" applyFont="1" applyBorder="1" applyAlignment="1">
      <alignment horizontal="center"/>
    </xf>
    <xf numFmtId="10" fontId="5" fillId="0" borderId="0" xfId="1" applyNumberFormat="1" applyFont="1" applyBorder="1" applyAlignment="1">
      <alignment horizontal="center"/>
    </xf>
    <xf numFmtId="183" fontId="5" fillId="0" borderId="0" xfId="1" applyNumberFormat="1" applyFont="1" applyBorder="1"/>
    <xf numFmtId="183" fontId="5" fillId="0" borderId="13" xfId="1" applyNumberFormat="1" applyFont="1" applyBorder="1"/>
    <xf numFmtId="199" fontId="0" fillId="0" borderId="26" xfId="0" applyNumberFormat="1" applyBorder="1" applyAlignment="1">
      <alignment horizontal="center"/>
    </xf>
    <xf numFmtId="199" fontId="0" fillId="0" borderId="27" xfId="0" applyNumberFormat="1" applyBorder="1" applyAlignment="1">
      <alignment horizontal="center"/>
    </xf>
    <xf numFmtId="199" fontId="2" fillId="0" borderId="27" xfId="0" applyNumberFormat="1" applyFont="1" applyBorder="1" applyAlignment="1">
      <alignment horizontal="center"/>
    </xf>
    <xf numFmtId="199" fontId="0" fillId="0" borderId="28" xfId="0" applyNumberFormat="1" applyBorder="1" applyAlignment="1">
      <alignment horizontal="center"/>
    </xf>
    <xf numFmtId="200" fontId="5" fillId="0" borderId="0" xfId="0" applyNumberFormat="1" applyFont="1"/>
    <xf numFmtId="9" fontId="2" fillId="0" borderId="0" xfId="1" applyFont="1"/>
    <xf numFmtId="174" fontId="2" fillId="0" borderId="3" xfId="0" applyNumberFormat="1" applyFont="1" applyBorder="1"/>
    <xf numFmtId="174" fontId="2" fillId="0" borderId="7" xfId="0" applyNumberFormat="1" applyFont="1" applyBorder="1"/>
    <xf numFmtId="179" fontId="0" fillId="0" borderId="39" xfId="0" applyNumberFormat="1" applyBorder="1" applyAlignment="1">
      <alignment horizontal="center"/>
    </xf>
    <xf numFmtId="0" fontId="0" fillId="0" borderId="40" xfId="0" applyBorder="1" applyAlignment="1">
      <alignment horizontal="right"/>
    </xf>
    <xf numFmtId="0" fontId="0" fillId="0" borderId="41" xfId="0" applyBorder="1" applyAlignment="1">
      <alignment horizontal="right"/>
    </xf>
    <xf numFmtId="179" fontId="2" fillId="0" borderId="8" xfId="0" applyNumberFormat="1" applyFont="1" applyBorder="1" applyAlignment="1">
      <alignment horizontal="center"/>
    </xf>
    <xf numFmtId="174" fontId="2" fillId="0" borderId="8" xfId="0" applyNumberFormat="1" applyFont="1" applyBorder="1"/>
    <xf numFmtId="174" fontId="2" fillId="0" borderId="8" xfId="0" applyNumberFormat="1" applyFont="1" applyBorder="1" applyAlignment="1">
      <alignment horizontal="right"/>
    </xf>
    <xf numFmtId="179" fontId="0" fillId="0" borderId="8" xfId="0" applyNumberFormat="1" applyBorder="1"/>
    <xf numFmtId="198" fontId="2" fillId="0" borderId="8" xfId="0" applyNumberFormat="1" applyFont="1" applyBorder="1"/>
    <xf numFmtId="179" fontId="2" fillId="0" borderId="8" xfId="0" applyNumberFormat="1" applyFont="1" applyBorder="1"/>
    <xf numFmtId="174" fontId="12" fillId="0" borderId="21" xfId="0" applyNumberFormat="1" applyFont="1" applyBorder="1" applyAlignment="1">
      <alignment horizontal="center"/>
    </xf>
    <xf numFmtId="181" fontId="12" fillId="0" borderId="42" xfId="0" applyNumberFormat="1" applyFont="1" applyBorder="1"/>
    <xf numFmtId="181" fontId="12" fillId="0" borderId="43" xfId="0" applyNumberFormat="1" applyFont="1" applyBorder="1"/>
    <xf numFmtId="181" fontId="12" fillId="0" borderId="44" xfId="0" applyNumberFormat="1" applyFont="1" applyBorder="1"/>
    <xf numFmtId="181" fontId="12" fillId="0" borderId="45" xfId="0" applyNumberFormat="1" applyFont="1" applyBorder="1"/>
    <xf numFmtId="181" fontId="12" fillId="0" borderId="46" xfId="0" applyNumberFormat="1" applyFont="1" applyBorder="1"/>
    <xf numFmtId="10" fontId="12" fillId="0" borderId="45" xfId="1" applyNumberFormat="1" applyFont="1" applyBorder="1"/>
    <xf numFmtId="10" fontId="12" fillId="0" borderId="46" xfId="1" applyNumberFormat="1" applyFont="1" applyBorder="1"/>
    <xf numFmtId="10" fontId="12" fillId="0" borderId="47" xfId="1" applyNumberFormat="1" applyFont="1" applyBorder="1"/>
    <xf numFmtId="10" fontId="12" fillId="0" borderId="48" xfId="1" applyNumberFormat="1" applyFont="1" applyBorder="1"/>
    <xf numFmtId="10" fontId="12" fillId="0" borderId="49" xfId="1" applyNumberFormat="1" applyFont="1" applyBorder="1"/>
    <xf numFmtId="0" fontId="41" fillId="0" borderId="0" xfId="0" applyFont="1" applyAlignment="1">
      <alignment horizontal="center"/>
    </xf>
    <xf numFmtId="0" fontId="30" fillId="0" borderId="1" xfId="0" applyFont="1" applyBorder="1" applyAlignment="1">
      <alignment horizontal="center"/>
    </xf>
    <xf numFmtId="9" fontId="31" fillId="0" borderId="0" xfId="1" applyFont="1" applyBorder="1" applyAlignment="1">
      <alignment horizontal="center"/>
    </xf>
    <xf numFmtId="0" fontId="0" fillId="0" borderId="1" xfId="0" applyBorder="1" applyAlignment="1">
      <alignment horizontal="center"/>
    </xf>
    <xf numFmtId="183" fontId="30" fillId="0" borderId="0" xfId="1" applyNumberFormat="1" applyFont="1" applyAlignment="1">
      <alignment horizontal="center"/>
    </xf>
    <xf numFmtId="9" fontId="30" fillId="0" borderId="0" xfId="0" applyNumberFormat="1" applyFont="1" applyAlignment="1">
      <alignment horizontal="center"/>
    </xf>
    <xf numFmtId="188" fontId="30" fillId="0" borderId="0" xfId="0" applyNumberFormat="1" applyFont="1" applyAlignment="1">
      <alignment horizontal="center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/>
    </xf>
    <xf numFmtId="179" fontId="12" fillId="0" borderId="0" xfId="0" applyNumberFormat="1" applyFont="1"/>
    <xf numFmtId="179" fontId="19" fillId="0" borderId="0" xfId="0" applyNumberFormat="1" applyFont="1"/>
    <xf numFmtId="0" fontId="5" fillId="0" borderId="43" xfId="0" applyFont="1" applyBorder="1"/>
    <xf numFmtId="181" fontId="0" fillId="0" borderId="43" xfId="0" applyNumberFormat="1" applyBorder="1"/>
    <xf numFmtId="0" fontId="5" fillId="0" borderId="44" xfId="0" applyFont="1" applyBorder="1"/>
    <xf numFmtId="181" fontId="12" fillId="0" borderId="0" xfId="0" applyNumberFormat="1" applyFont="1" applyBorder="1"/>
    <xf numFmtId="0" fontId="5" fillId="0" borderId="0" xfId="0" applyFont="1" applyBorder="1"/>
    <xf numFmtId="181" fontId="0" fillId="0" borderId="0" xfId="0" applyNumberFormat="1" applyBorder="1"/>
    <xf numFmtId="0" fontId="5" fillId="0" borderId="46" xfId="0" applyFont="1" applyBorder="1"/>
    <xf numFmtId="183" fontId="5" fillId="0" borderId="46" xfId="1" applyNumberFormat="1" applyFont="1" applyBorder="1"/>
    <xf numFmtId="10" fontId="5" fillId="0" borderId="46" xfId="1" applyNumberFormat="1" applyFont="1" applyBorder="1"/>
    <xf numFmtId="10" fontId="5" fillId="0" borderId="48" xfId="1" applyNumberFormat="1" applyFont="1" applyBorder="1"/>
    <xf numFmtId="10" fontId="0" fillId="0" borderId="48" xfId="1" applyNumberFormat="1" applyFont="1" applyBorder="1"/>
    <xf numFmtId="10" fontId="5" fillId="0" borderId="49" xfId="1" applyNumberFormat="1" applyFont="1" applyBorder="1"/>
  </cellXfs>
  <cellStyles count="6">
    <cellStyle name="20% - Accent3" xfId="4" builtinId="38"/>
    <cellStyle name="Comma 3" xfId="3" xr:uid="{D9D409A4-596B-448C-84DD-F78BB59EC98E}"/>
    <cellStyle name="Hyperlink" xfId="5" builtinId="8"/>
    <cellStyle name="Normal" xfId="0" builtinId="0"/>
    <cellStyle name="Normal 2" xfId="2" xr:uid="{F1A9CAA3-9F3B-449F-AAD6-E43ADC5A5B25}"/>
    <cellStyle name="Percent" xfId="1" builtinId="5"/>
  </cellStyles>
  <dxfs count="0"/>
  <tableStyles count="0" defaultTableStyle="TableStyleMedium2" defaultPivotStyle="PivotStyleMedium9"/>
  <colors>
    <mruColors>
      <color rgb="FFFB33D0"/>
      <color rgb="FFF50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Outputs!$AG$30</c:f>
              <c:strCache>
                <c:ptCount val="1"/>
                <c:pt idx="0">
                  <c:v>R&amp;D Expense</c:v>
                </c:pt>
              </c:strCache>
            </c:strRef>
          </c:tx>
          <c:spPr>
            <a:solidFill>
              <a:srgbClr val="FB33D0"/>
            </a:solidFill>
            <a:ln>
              <a:noFill/>
            </a:ln>
            <a:effectLst/>
          </c:spPr>
          <c:invertIfNegative val="0"/>
          <c:cat>
            <c:numRef>
              <c:f>Outputs!$AH$29:$AN$29</c:f>
              <c:numCache>
                <c:formatCode>"FY "0"E"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28</c:v>
                </c:pt>
                <c:pt idx="3">
                  <c:v>29</c:v>
                </c:pt>
                <c:pt idx="4">
                  <c:v>30</c:v>
                </c:pt>
                <c:pt idx="5">
                  <c:v>31</c:v>
                </c:pt>
                <c:pt idx="6">
                  <c:v>32</c:v>
                </c:pt>
              </c:numCache>
            </c:numRef>
          </c:cat>
          <c:val>
            <c:numRef>
              <c:f>Outputs!$AH$30:$AN$30</c:f>
              <c:numCache>
                <c:formatCode>#,##0</c:formatCode>
                <c:ptCount val="7"/>
                <c:pt idx="0">
                  <c:v>2698.4450999999999</c:v>
                </c:pt>
                <c:pt idx="1">
                  <c:v>2902.1170230000002</c:v>
                </c:pt>
                <c:pt idx="2">
                  <c:v>2927.5894044800002</c:v>
                </c:pt>
                <c:pt idx="3">
                  <c:v>2917.9530072567336</c:v>
                </c:pt>
                <c:pt idx="4">
                  <c:v>2933.7335019473344</c:v>
                </c:pt>
                <c:pt idx="5">
                  <c:v>2846.6358909108858</c:v>
                </c:pt>
                <c:pt idx="6">
                  <c:v>2834.3659086224766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AF-45D0-9D70-FECBF0C46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6709856"/>
        <c:axId val="686720296"/>
      </c:barChart>
      <c:lineChart>
        <c:grouping val="stacked"/>
        <c:varyColors val="0"/>
        <c:ser>
          <c:idx val="2"/>
          <c:order val="1"/>
          <c:tx>
            <c:strRef>
              <c:f>Outputs!$AG$31</c:f>
              <c:strCache>
                <c:ptCount val="1"/>
                <c:pt idx="0">
                  <c:v>R&amp;D Margin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7030A0"/>
                </a:solidFill>
              </a:ln>
              <a:effectLst/>
            </c:spPr>
          </c:marker>
          <c:val>
            <c:numRef>
              <c:f>Outputs!$AH$31:$AN$31</c:f>
              <c:numCache>
                <c:formatCode>0.0%</c:formatCode>
                <c:ptCount val="7"/>
                <c:pt idx="0">
                  <c:v>0.34499999999999997</c:v>
                </c:pt>
                <c:pt idx="1">
                  <c:v>0.34499999999999997</c:v>
                </c:pt>
                <c:pt idx="2">
                  <c:v>0.33999999999999997</c:v>
                </c:pt>
                <c:pt idx="3">
                  <c:v>0.32333333333333331</c:v>
                </c:pt>
                <c:pt idx="4">
                  <c:v>0.30666666666666664</c:v>
                </c:pt>
                <c:pt idx="5">
                  <c:v>0.28999999999999998</c:v>
                </c:pt>
                <c:pt idx="6">
                  <c:v>0.27499999999999997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AF-45D0-9D70-FECBF0C46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6664496"/>
        <c:axId val="686669176"/>
      </c:lineChart>
      <c:catAx>
        <c:axId val="686709856"/>
        <c:scaling>
          <c:orientation val="minMax"/>
        </c:scaling>
        <c:delete val="0"/>
        <c:axPos val="b"/>
        <c:numFmt formatCode="&quot;FY &quot;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720296"/>
        <c:crosses val="autoZero"/>
        <c:auto val="1"/>
        <c:lblAlgn val="ctr"/>
        <c:lblOffset val="100"/>
        <c:noMultiLvlLbl val="0"/>
      </c:catAx>
      <c:valAx>
        <c:axId val="686720296"/>
        <c:scaling>
          <c:orientation val="minMax"/>
        </c:scaling>
        <c:delete val="0"/>
        <c:axPos val="l"/>
        <c:numFmt formatCode="&quot;$&quot;#,##0&quot;mn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709856"/>
        <c:crosses val="autoZero"/>
        <c:crossBetween val="between"/>
        <c:majorUnit val="100"/>
      </c:valAx>
      <c:valAx>
        <c:axId val="686669176"/>
        <c:scaling>
          <c:orientation val="minMax"/>
          <c:max val="0.35000000000000003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664496"/>
        <c:crosses val="max"/>
        <c:crossBetween val="between"/>
      </c:valAx>
      <c:catAx>
        <c:axId val="686664496"/>
        <c:scaling>
          <c:orientation val="minMax"/>
        </c:scaling>
        <c:delete val="1"/>
        <c:axPos val="b"/>
        <c:majorTickMark val="out"/>
        <c:minorTickMark val="none"/>
        <c:tickLblPos val="nextTo"/>
        <c:crossAx val="6866691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Outputs!$X$91</c:f>
              <c:strCache>
                <c:ptCount val="1"/>
                <c:pt idx="0">
                  <c:v>IRR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Outputs!$V$92:$V$96</c15:sqref>
                  </c15:fullRef>
                </c:ext>
              </c:extLst>
              <c:f>Outputs!$V$93:$V$96</c:f>
              <c:strCache>
                <c:ptCount val="4"/>
                <c:pt idx="0">
                  <c:v>Year 2</c:v>
                </c:pt>
                <c:pt idx="1">
                  <c:v>Year 3</c:v>
                </c:pt>
                <c:pt idx="2">
                  <c:v>Year 4</c:v>
                </c:pt>
                <c:pt idx="3">
                  <c:v>Year 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Outputs!$X$92:$X$96</c15:sqref>
                  </c15:fullRef>
                </c:ext>
              </c:extLst>
              <c:f>Outputs!$X$93:$X$96</c:f>
              <c:numCache>
                <c:formatCode>0%</c:formatCode>
                <c:ptCount val="4"/>
                <c:pt idx="0">
                  <c:v>4.5984134078025818E-2</c:v>
                </c:pt>
                <c:pt idx="1">
                  <c:v>0.12578480839729311</c:v>
                </c:pt>
                <c:pt idx="2">
                  <c:v>0.13567026257514958</c:v>
                </c:pt>
                <c:pt idx="3">
                  <c:v>0.14677751660346988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E7-48DE-9B2C-F895EBD54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2544512"/>
        <c:axId val="1112539112"/>
      </c:barChart>
      <c:lineChart>
        <c:grouping val="standard"/>
        <c:varyColors val="0"/>
        <c:ser>
          <c:idx val="2"/>
          <c:order val="1"/>
          <c:tx>
            <c:strRef>
              <c:f>Outputs!$Y$91</c:f>
              <c:strCache>
                <c:ptCount val="1"/>
                <c:pt idx="0">
                  <c:v>MOIC</c:v>
                </c:pt>
              </c:strCache>
            </c:strRef>
          </c:tx>
          <c:spPr>
            <a:ln w="28575" cap="rnd">
              <a:solidFill>
                <a:srgbClr val="F509D9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FB33D0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Outputs!$V$92:$V$96</c15:sqref>
                  </c15:fullRef>
                </c:ext>
              </c:extLst>
              <c:f>Outputs!$V$93:$V$96</c:f>
              <c:strCache>
                <c:ptCount val="4"/>
                <c:pt idx="0">
                  <c:v>Year 2</c:v>
                </c:pt>
                <c:pt idx="1">
                  <c:v>Year 3</c:v>
                </c:pt>
                <c:pt idx="2">
                  <c:v>Year 4</c:v>
                </c:pt>
                <c:pt idx="3">
                  <c:v>Year 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Outputs!$Y$92:$Y$96</c15:sqref>
                  </c15:fullRef>
                </c:ext>
              </c:extLst>
              <c:f>Outputs!$Y$93:$Y$96</c:f>
              <c:numCache>
                <c:formatCode>_(0.0\x_);\(0.0\x\);"-"</c:formatCode>
                <c:ptCount val="4"/>
                <c:pt idx="0">
                  <c:v>1.1383480587620209</c:v>
                </c:pt>
                <c:pt idx="1">
                  <c:v>1.4307838973030098</c:v>
                </c:pt>
                <c:pt idx="2">
                  <c:v>1.6854748592102557</c:v>
                </c:pt>
                <c:pt idx="3">
                  <c:v>2.0335295471983796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AE7-48DE-9B2C-F895EBD54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998968"/>
        <c:axId val="1118001848"/>
      </c:lineChart>
      <c:catAx>
        <c:axId val="111254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2539112"/>
        <c:crosses val="autoZero"/>
        <c:auto val="1"/>
        <c:lblAlgn val="ctr"/>
        <c:lblOffset val="100"/>
        <c:noMultiLvlLbl val="0"/>
      </c:catAx>
      <c:valAx>
        <c:axId val="111253911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2544512"/>
        <c:crosses val="autoZero"/>
        <c:crossBetween val="between"/>
      </c:valAx>
      <c:valAx>
        <c:axId val="1118001848"/>
        <c:scaling>
          <c:orientation val="minMax"/>
        </c:scaling>
        <c:delete val="0"/>
        <c:axPos val="r"/>
        <c:numFmt formatCode="_(0.0\x_);\(0.0\x\);&quot;-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7998968"/>
        <c:crosses val="max"/>
        <c:crossBetween val="between"/>
      </c:valAx>
      <c:catAx>
        <c:axId val="1117998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180018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Outputs!$AI$89</c:f>
              <c:strCache>
                <c:ptCount val="1"/>
                <c:pt idx="0">
                  <c:v>SOFR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Outputs!$AJ$88:$AO$88</c:f>
              <c:numCache>
                <c:formatCode>"FY "0"E"</c:formatCode>
                <c:ptCount val="6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30</c:v>
                </c:pt>
                <c:pt idx="4">
                  <c:v>31</c:v>
                </c:pt>
                <c:pt idx="5">
                  <c:v>32</c:v>
                </c:pt>
              </c:numCache>
            </c:numRef>
          </c:cat>
          <c:val>
            <c:numRef>
              <c:f>Outputs!$AJ$89:$AO$89</c:f>
              <c:numCache>
                <c:formatCode>0.0%</c:formatCode>
                <c:ptCount val="6"/>
                <c:pt idx="0">
                  <c:v>0.04</c:v>
                </c:pt>
                <c:pt idx="1">
                  <c:v>3.5000000000000003E-2</c:v>
                </c:pt>
                <c:pt idx="2">
                  <c:v>3.5000000000000003E-2</c:v>
                </c:pt>
                <c:pt idx="3">
                  <c:v>3.5000000000000003E-2</c:v>
                </c:pt>
                <c:pt idx="4">
                  <c:v>2.75E-2</c:v>
                </c:pt>
                <c:pt idx="5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38-4C20-8227-B1E1EC42A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2567736"/>
        <c:axId val="1162570976"/>
      </c:barChart>
      <c:lineChart>
        <c:grouping val="standard"/>
        <c:varyColors val="0"/>
        <c:ser>
          <c:idx val="2"/>
          <c:order val="1"/>
          <c:tx>
            <c:strRef>
              <c:f>Outputs!$AI$90</c:f>
              <c:strCache>
                <c:ptCount val="1"/>
                <c:pt idx="0">
                  <c:v>Term Loan</c:v>
                </c:pt>
              </c:strCache>
            </c:strRef>
          </c:tx>
          <c:spPr>
            <a:ln w="28575" cap="rnd">
              <a:solidFill>
                <a:srgbClr val="FB33D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509D9"/>
              </a:solidFill>
              <a:ln w="9525">
                <a:solidFill>
                  <a:srgbClr val="FB33D0"/>
                </a:solidFill>
              </a:ln>
              <a:effectLst/>
            </c:spPr>
          </c:marker>
          <c:val>
            <c:numRef>
              <c:f>Outputs!$AJ$90:$AO$90</c:f>
              <c:numCache>
                <c:formatCode>0.0%</c:formatCode>
                <c:ptCount val="6"/>
                <c:pt idx="0">
                  <c:v>6.7500000000000004E-2</c:v>
                </c:pt>
                <c:pt idx="1">
                  <c:v>6.25E-2</c:v>
                </c:pt>
                <c:pt idx="2">
                  <c:v>6.25E-2</c:v>
                </c:pt>
                <c:pt idx="3">
                  <c:v>6.25E-2</c:v>
                </c:pt>
                <c:pt idx="4">
                  <c:v>5.5E-2</c:v>
                </c:pt>
                <c:pt idx="5">
                  <c:v>5.2500000000000005E-2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38-4C20-8227-B1E1EC42AF14}"/>
            </c:ext>
          </c:extLst>
        </c:ser>
        <c:ser>
          <c:idx val="3"/>
          <c:order val="2"/>
          <c:tx>
            <c:strRef>
              <c:f>Outputs!$AI$91</c:f>
              <c:strCache>
                <c:ptCount val="1"/>
                <c:pt idx="0">
                  <c:v>Senior Debt 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val>
            <c:numRef>
              <c:f>Outputs!$AJ$91:$AO$91</c:f>
              <c:numCache>
                <c:formatCode>0.0%</c:formatCode>
                <c:ptCount val="6"/>
                <c:pt idx="0">
                  <c:v>6.25E-2</c:v>
                </c:pt>
                <c:pt idx="1">
                  <c:v>5.7500000000000002E-2</c:v>
                </c:pt>
                <c:pt idx="2">
                  <c:v>5.7500000000000002E-2</c:v>
                </c:pt>
                <c:pt idx="3">
                  <c:v>5.7500000000000002E-2</c:v>
                </c:pt>
                <c:pt idx="4">
                  <c:v>0.05</c:v>
                </c:pt>
                <c:pt idx="5">
                  <c:v>4.7500000000000001E-2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38-4C20-8227-B1E1EC42A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2567736"/>
        <c:axId val="1162570976"/>
      </c:lineChart>
      <c:catAx>
        <c:axId val="1162567736"/>
        <c:scaling>
          <c:orientation val="minMax"/>
        </c:scaling>
        <c:delete val="0"/>
        <c:axPos val="b"/>
        <c:numFmt formatCode="&quot;FY &quot;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2570976"/>
        <c:crosses val="autoZero"/>
        <c:auto val="1"/>
        <c:lblAlgn val="ctr"/>
        <c:lblOffset val="100"/>
        <c:noMultiLvlLbl val="0"/>
      </c:catAx>
      <c:valAx>
        <c:axId val="116257097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2567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7030A0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rgbClr val="7030A0"/>
                </a:solidFill>
              </a:rPr>
              <a:t>Electronic</a:t>
            </a:r>
            <a:r>
              <a:rPr lang="en-US" baseline="0">
                <a:solidFill>
                  <a:srgbClr val="7030A0"/>
                </a:solidFill>
              </a:rPr>
              <a:t> Arts</a:t>
            </a:r>
            <a:r>
              <a:rPr lang="en-US">
                <a:solidFill>
                  <a:srgbClr val="7030A0"/>
                </a:solidFill>
              </a:rPr>
              <a:t> Share Price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7030A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'Additional Data'!$B$4</c:f>
              <c:strCache>
                <c:ptCount val="1"/>
                <c:pt idx="0">
                  <c:v>EA | Share Price (Daily)($)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numRef>
              <c:f>'Additional Data'!$A$5:$A$79</c:f>
              <c:numCache>
                <c:formatCode>m/d/yyyy</c:formatCode>
                <c:ptCount val="75"/>
                <c:pt idx="0">
                  <c:v>45950</c:v>
                </c:pt>
                <c:pt idx="1">
                  <c:v>45947</c:v>
                </c:pt>
                <c:pt idx="2">
                  <c:v>45946</c:v>
                </c:pt>
                <c:pt idx="3">
                  <c:v>45945</c:v>
                </c:pt>
                <c:pt idx="4">
                  <c:v>45944</c:v>
                </c:pt>
                <c:pt idx="5">
                  <c:v>45943</c:v>
                </c:pt>
                <c:pt idx="6">
                  <c:v>45940</c:v>
                </c:pt>
                <c:pt idx="7">
                  <c:v>45939</c:v>
                </c:pt>
                <c:pt idx="8">
                  <c:v>45938</c:v>
                </c:pt>
                <c:pt idx="9">
                  <c:v>45937</c:v>
                </c:pt>
                <c:pt idx="10">
                  <c:v>45936</c:v>
                </c:pt>
                <c:pt idx="11">
                  <c:v>45933</c:v>
                </c:pt>
                <c:pt idx="12">
                  <c:v>45932</c:v>
                </c:pt>
                <c:pt idx="13">
                  <c:v>45931</c:v>
                </c:pt>
                <c:pt idx="14">
                  <c:v>45930</c:v>
                </c:pt>
                <c:pt idx="15">
                  <c:v>45929</c:v>
                </c:pt>
                <c:pt idx="16">
                  <c:v>45926</c:v>
                </c:pt>
                <c:pt idx="17">
                  <c:v>45925</c:v>
                </c:pt>
                <c:pt idx="18">
                  <c:v>45924</c:v>
                </c:pt>
                <c:pt idx="19">
                  <c:v>45923</c:v>
                </c:pt>
                <c:pt idx="20">
                  <c:v>45922</c:v>
                </c:pt>
                <c:pt idx="21">
                  <c:v>45919</c:v>
                </c:pt>
                <c:pt idx="22">
                  <c:v>45918</c:v>
                </c:pt>
                <c:pt idx="23">
                  <c:v>45917</c:v>
                </c:pt>
                <c:pt idx="24">
                  <c:v>45916</c:v>
                </c:pt>
                <c:pt idx="25">
                  <c:v>45915</c:v>
                </c:pt>
                <c:pt idx="26">
                  <c:v>45912</c:v>
                </c:pt>
                <c:pt idx="27">
                  <c:v>45911</c:v>
                </c:pt>
                <c:pt idx="28">
                  <c:v>45910</c:v>
                </c:pt>
                <c:pt idx="29">
                  <c:v>45909</c:v>
                </c:pt>
                <c:pt idx="30">
                  <c:v>45908</c:v>
                </c:pt>
                <c:pt idx="31">
                  <c:v>45905</c:v>
                </c:pt>
                <c:pt idx="32">
                  <c:v>45904</c:v>
                </c:pt>
                <c:pt idx="33">
                  <c:v>45903</c:v>
                </c:pt>
                <c:pt idx="34">
                  <c:v>45902</c:v>
                </c:pt>
                <c:pt idx="35">
                  <c:v>45898</c:v>
                </c:pt>
                <c:pt idx="36">
                  <c:v>45897</c:v>
                </c:pt>
                <c:pt idx="37">
                  <c:v>45896</c:v>
                </c:pt>
                <c:pt idx="38">
                  <c:v>45895</c:v>
                </c:pt>
                <c:pt idx="39">
                  <c:v>45894</c:v>
                </c:pt>
                <c:pt idx="40">
                  <c:v>45891</c:v>
                </c:pt>
                <c:pt idx="41">
                  <c:v>45890</c:v>
                </c:pt>
                <c:pt idx="42">
                  <c:v>45889</c:v>
                </c:pt>
                <c:pt idx="43">
                  <c:v>45888</c:v>
                </c:pt>
                <c:pt idx="44">
                  <c:v>45887</c:v>
                </c:pt>
                <c:pt idx="45">
                  <c:v>45884</c:v>
                </c:pt>
                <c:pt idx="46">
                  <c:v>45883</c:v>
                </c:pt>
                <c:pt idx="47">
                  <c:v>45882</c:v>
                </c:pt>
                <c:pt idx="48">
                  <c:v>45881</c:v>
                </c:pt>
                <c:pt idx="49">
                  <c:v>45880</c:v>
                </c:pt>
                <c:pt idx="50">
                  <c:v>45877</c:v>
                </c:pt>
                <c:pt idx="51">
                  <c:v>45876</c:v>
                </c:pt>
                <c:pt idx="52">
                  <c:v>45875</c:v>
                </c:pt>
                <c:pt idx="53">
                  <c:v>45874</c:v>
                </c:pt>
                <c:pt idx="54">
                  <c:v>45873</c:v>
                </c:pt>
                <c:pt idx="55">
                  <c:v>45870</c:v>
                </c:pt>
                <c:pt idx="56">
                  <c:v>45869</c:v>
                </c:pt>
                <c:pt idx="57">
                  <c:v>45868</c:v>
                </c:pt>
                <c:pt idx="58">
                  <c:v>45867</c:v>
                </c:pt>
                <c:pt idx="59">
                  <c:v>45866</c:v>
                </c:pt>
                <c:pt idx="60">
                  <c:v>45863</c:v>
                </c:pt>
                <c:pt idx="61">
                  <c:v>45862</c:v>
                </c:pt>
                <c:pt idx="62">
                  <c:v>45861</c:v>
                </c:pt>
                <c:pt idx="63">
                  <c:v>45860</c:v>
                </c:pt>
                <c:pt idx="64">
                  <c:v>45859</c:v>
                </c:pt>
                <c:pt idx="65">
                  <c:v>45856</c:v>
                </c:pt>
                <c:pt idx="66">
                  <c:v>45855</c:v>
                </c:pt>
                <c:pt idx="67">
                  <c:v>45854</c:v>
                </c:pt>
                <c:pt idx="68">
                  <c:v>45853</c:v>
                </c:pt>
                <c:pt idx="69">
                  <c:v>45852</c:v>
                </c:pt>
                <c:pt idx="70">
                  <c:v>45849</c:v>
                </c:pt>
                <c:pt idx="71">
                  <c:v>45848</c:v>
                </c:pt>
                <c:pt idx="72">
                  <c:v>45847</c:v>
                </c:pt>
                <c:pt idx="73">
                  <c:v>45846</c:v>
                </c:pt>
                <c:pt idx="74">
                  <c:v>45845</c:v>
                </c:pt>
              </c:numCache>
            </c:numRef>
          </c:cat>
          <c:val>
            <c:numRef>
              <c:f>'Additional Data'!$B$5:$B$79</c:f>
              <c:numCache>
                <c:formatCode>#,##0.00;\(#,##0.00\)</c:formatCode>
                <c:ptCount val="75"/>
                <c:pt idx="0">
                  <c:v>200.59</c:v>
                </c:pt>
                <c:pt idx="1">
                  <c:v>200.3</c:v>
                </c:pt>
                <c:pt idx="2">
                  <c:v>200.35</c:v>
                </c:pt>
                <c:pt idx="3">
                  <c:v>200.75</c:v>
                </c:pt>
                <c:pt idx="4">
                  <c:v>200.2</c:v>
                </c:pt>
                <c:pt idx="5">
                  <c:v>200.29</c:v>
                </c:pt>
                <c:pt idx="6">
                  <c:v>200.02</c:v>
                </c:pt>
                <c:pt idx="7">
                  <c:v>200.05</c:v>
                </c:pt>
                <c:pt idx="8">
                  <c:v>200.01</c:v>
                </c:pt>
                <c:pt idx="9">
                  <c:v>200.02</c:v>
                </c:pt>
                <c:pt idx="10">
                  <c:v>200.46</c:v>
                </c:pt>
                <c:pt idx="11">
                  <c:v>200.69</c:v>
                </c:pt>
                <c:pt idx="12" formatCode="#,##0;\(#,##0\)">
                  <c:v>201</c:v>
                </c:pt>
                <c:pt idx="13">
                  <c:v>201.63</c:v>
                </c:pt>
                <c:pt idx="14">
                  <c:v>201.7</c:v>
                </c:pt>
                <c:pt idx="15">
                  <c:v>202.05</c:v>
                </c:pt>
                <c:pt idx="16">
                  <c:v>193.35</c:v>
                </c:pt>
                <c:pt idx="17">
                  <c:v>168.32</c:v>
                </c:pt>
                <c:pt idx="18">
                  <c:v>167.35</c:v>
                </c:pt>
                <c:pt idx="19">
                  <c:v>174.07</c:v>
                </c:pt>
                <c:pt idx="20">
                  <c:v>173.42</c:v>
                </c:pt>
                <c:pt idx="21">
                  <c:v>173.09</c:v>
                </c:pt>
                <c:pt idx="22">
                  <c:v>173.17</c:v>
                </c:pt>
                <c:pt idx="23">
                  <c:v>173.59</c:v>
                </c:pt>
                <c:pt idx="24">
                  <c:v>172.08</c:v>
                </c:pt>
                <c:pt idx="25">
                  <c:v>171.76499999999999</c:v>
                </c:pt>
                <c:pt idx="26">
                  <c:v>172.38</c:v>
                </c:pt>
                <c:pt idx="27">
                  <c:v>169.89</c:v>
                </c:pt>
                <c:pt idx="28">
                  <c:v>170.27</c:v>
                </c:pt>
                <c:pt idx="29">
                  <c:v>166.04</c:v>
                </c:pt>
                <c:pt idx="30">
                  <c:v>168.06</c:v>
                </c:pt>
                <c:pt idx="31">
                  <c:v>168.62</c:v>
                </c:pt>
                <c:pt idx="32">
                  <c:v>168.03</c:v>
                </c:pt>
                <c:pt idx="33">
                  <c:v>167.86</c:v>
                </c:pt>
                <c:pt idx="34">
                  <c:v>171.45</c:v>
                </c:pt>
                <c:pt idx="35">
                  <c:v>171.95</c:v>
                </c:pt>
                <c:pt idx="36">
                  <c:v>170.99</c:v>
                </c:pt>
                <c:pt idx="37">
                  <c:v>172.6</c:v>
                </c:pt>
                <c:pt idx="38">
                  <c:v>172.23</c:v>
                </c:pt>
                <c:pt idx="39">
                  <c:v>172.76</c:v>
                </c:pt>
                <c:pt idx="40">
                  <c:v>171.4</c:v>
                </c:pt>
                <c:pt idx="41">
                  <c:v>171.55</c:v>
                </c:pt>
                <c:pt idx="42">
                  <c:v>171.33</c:v>
                </c:pt>
                <c:pt idx="43">
                  <c:v>170.68</c:v>
                </c:pt>
                <c:pt idx="44">
                  <c:v>169.16</c:v>
                </c:pt>
                <c:pt idx="45">
                  <c:v>174.67</c:v>
                </c:pt>
                <c:pt idx="46">
                  <c:v>179.01</c:v>
                </c:pt>
                <c:pt idx="47">
                  <c:v>178.4</c:v>
                </c:pt>
                <c:pt idx="48">
                  <c:v>177.91</c:v>
                </c:pt>
                <c:pt idx="49">
                  <c:v>176.11</c:v>
                </c:pt>
                <c:pt idx="50">
                  <c:v>167.64</c:v>
                </c:pt>
                <c:pt idx="51">
                  <c:v>162.75</c:v>
                </c:pt>
                <c:pt idx="52" formatCode="#,##0;\(#,##0\)">
                  <c:v>163</c:v>
                </c:pt>
                <c:pt idx="53">
                  <c:v>160.99</c:v>
                </c:pt>
                <c:pt idx="54">
                  <c:v>159.77000000000001</c:v>
                </c:pt>
                <c:pt idx="55">
                  <c:v>157.08000000000001</c:v>
                </c:pt>
                <c:pt idx="56">
                  <c:v>152.49</c:v>
                </c:pt>
                <c:pt idx="57">
                  <c:v>156.26</c:v>
                </c:pt>
                <c:pt idx="58">
                  <c:v>147.79</c:v>
                </c:pt>
                <c:pt idx="59">
                  <c:v>151.99</c:v>
                </c:pt>
                <c:pt idx="60">
                  <c:v>151.68</c:v>
                </c:pt>
                <c:pt idx="61">
                  <c:v>152.63999999999999</c:v>
                </c:pt>
                <c:pt idx="62">
                  <c:v>153.72999999999999</c:v>
                </c:pt>
                <c:pt idx="63">
                  <c:v>157.02000000000001</c:v>
                </c:pt>
                <c:pt idx="64">
                  <c:v>153.38999999999999</c:v>
                </c:pt>
                <c:pt idx="65">
                  <c:v>150.11000000000001</c:v>
                </c:pt>
                <c:pt idx="66">
                  <c:v>149.83000000000001</c:v>
                </c:pt>
                <c:pt idx="67">
                  <c:v>149.35</c:v>
                </c:pt>
                <c:pt idx="68">
                  <c:v>148.74</c:v>
                </c:pt>
                <c:pt idx="69">
                  <c:v>148.83000000000001</c:v>
                </c:pt>
                <c:pt idx="70">
                  <c:v>148.69</c:v>
                </c:pt>
                <c:pt idx="71">
                  <c:v>151.30000000000001</c:v>
                </c:pt>
                <c:pt idx="72">
                  <c:v>152.68</c:v>
                </c:pt>
                <c:pt idx="73">
                  <c:v>152.63999999999999</c:v>
                </c:pt>
                <c:pt idx="74">
                  <c:v>153.53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B3-46E3-9DA2-44DC6CF727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84167432"/>
        <c:axId val="784167792"/>
      </c:lineChart>
      <c:dateAx>
        <c:axId val="784167432"/>
        <c:scaling>
          <c:orientation val="minMax"/>
        </c:scaling>
        <c:delete val="0"/>
        <c:axPos val="b"/>
        <c:numFmt formatCode="mmm\ 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167792"/>
        <c:crosses val="autoZero"/>
        <c:auto val="1"/>
        <c:lblOffset val="100"/>
        <c:baseTimeUnit val="days"/>
        <c:majorUnit val="1"/>
        <c:majorTimeUnit val="months"/>
      </c:dateAx>
      <c:valAx>
        <c:axId val="784167792"/>
        <c:scaling>
          <c:orientation val="minMax"/>
          <c:max val="210"/>
          <c:min val="130"/>
        </c:scaling>
        <c:delete val="0"/>
        <c:axPos val="l"/>
        <c:numFmt formatCode="#,##0.0;\(#,##0.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167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7030A0"/>
                </a:solidFill>
              </a:rPr>
              <a:t>EA Free Cash Flows</a:t>
            </a:r>
          </a:p>
        </c:rich>
      </c:tx>
      <c:overlay val="0"/>
      <c:spPr>
        <a:noFill/>
        <a:ln>
          <a:solidFill>
            <a:srgbClr val="7030A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'Additional Data'!$L$10</c:f>
              <c:strCache>
                <c:ptCount val="1"/>
                <c:pt idx="0">
                  <c:v>Free Cash Flows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'Additional Data'!$M$7:$S$7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'Additional Data'!$M$10:$S$10</c:f>
              <c:numCache>
                <c:formatCode>#,##0;[Red]\(#,##0\)</c:formatCode>
                <c:ptCount val="7"/>
                <c:pt idx="0">
                  <c:v>1428000</c:v>
                </c:pt>
                <c:pt idx="1">
                  <c:v>1657000</c:v>
                </c:pt>
                <c:pt idx="2">
                  <c:v>1810000</c:v>
                </c:pt>
                <c:pt idx="3">
                  <c:v>1711000</c:v>
                </c:pt>
                <c:pt idx="4">
                  <c:v>1343000</c:v>
                </c:pt>
                <c:pt idx="5">
                  <c:v>2116000</c:v>
                </c:pt>
                <c:pt idx="6">
                  <c:v>1858000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2D-4385-BCCC-F0E2923C9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42408816"/>
        <c:axId val="742404136"/>
      </c:barChart>
      <c:catAx>
        <c:axId val="74240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2404136"/>
        <c:crosses val="autoZero"/>
        <c:auto val="1"/>
        <c:lblAlgn val="ctr"/>
        <c:lblOffset val="100"/>
        <c:noMultiLvlLbl val="0"/>
      </c:catAx>
      <c:valAx>
        <c:axId val="742404136"/>
        <c:scaling>
          <c:orientation val="minMax"/>
          <c:max val="2250000"/>
          <c:min val="0"/>
        </c:scaling>
        <c:delete val="0"/>
        <c:axPos val="l"/>
        <c:numFmt formatCode="#,##0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240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Historically Low Debt Levels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'Additional Data'!$J$41</c:f>
              <c:strCache>
                <c:ptCount val="1"/>
                <c:pt idx="0">
                  <c:v>Total Debt / EBITDA (Left Axis)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'Additional Data'!$K$40:$Q$40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'Additional Data'!$K$41:$Q$41</c:f>
              <c:numCache>
                <c:formatCode>#,##0.00;[Red]\(#,##0.00\)</c:formatCode>
                <c:ptCount val="7"/>
                <c:pt idx="0">
                  <c:v>0.86299999999999999</c:v>
                </c:pt>
                <c:pt idx="1">
                  <c:v>0.71</c:v>
                </c:pt>
                <c:pt idx="2">
                  <c:v>1.613</c:v>
                </c:pt>
                <c:pt idx="3">
                  <c:v>1.2869999999999999</c:v>
                </c:pt>
                <c:pt idx="4">
                  <c:v>1.0740000000000001</c:v>
                </c:pt>
                <c:pt idx="5">
                  <c:v>1.0489999999999999</c:v>
                </c:pt>
                <c:pt idx="6">
                  <c:v>1.0609999999999999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B2-4C80-AAB1-5686701F2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3931232"/>
        <c:axId val="573932872"/>
      </c:barChart>
      <c:lineChart>
        <c:grouping val="standard"/>
        <c:varyColors val="0"/>
        <c:ser>
          <c:idx val="1"/>
          <c:order val="1"/>
          <c:tx>
            <c:strRef>
              <c:f>'Additional Data'!$J$42</c:f>
              <c:strCache>
                <c:ptCount val="1"/>
                <c:pt idx="0">
                  <c:v>EBITDA / Interest Expense (Right Axis)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strRef>
              <c:f>'Additional Data'!$K$40:$Q$40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'Additional Data'!$K$42:$Q$42</c:f>
              <c:numCache>
                <c:formatCode>#,##0.00;[Red]\(#,##0.00\)</c:formatCode>
                <c:ptCount val="7"/>
                <c:pt idx="0">
                  <c:v>25.6</c:v>
                </c:pt>
                <c:pt idx="1">
                  <c:v>39.067999999999998</c:v>
                </c:pt>
                <c:pt idx="2">
                  <c:v>29.667000000000002</c:v>
                </c:pt>
                <c:pt idx="3">
                  <c:v>29.879000000000001</c:v>
                </c:pt>
                <c:pt idx="4">
                  <c:v>35.69</c:v>
                </c:pt>
                <c:pt idx="5">
                  <c:v>36.085999999999999</c:v>
                </c:pt>
                <c:pt idx="6">
                  <c:v>36.052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B2-4C80-AAB1-5686701F2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3924672"/>
        <c:axId val="573934840"/>
      </c:lineChart>
      <c:catAx>
        <c:axId val="57393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932872"/>
        <c:crosses val="autoZero"/>
        <c:auto val="1"/>
        <c:lblAlgn val="ctr"/>
        <c:lblOffset val="100"/>
        <c:noMultiLvlLbl val="0"/>
      </c:catAx>
      <c:valAx>
        <c:axId val="573932872"/>
        <c:scaling>
          <c:orientation val="minMax"/>
        </c:scaling>
        <c:delete val="0"/>
        <c:axPos val="l"/>
        <c:numFmt formatCode="#,##0.0&quot;x&quot;;[Red]\(#,##0.0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5">
                    <a:lumMod val="60000"/>
                    <a:lumOff val="4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931232"/>
        <c:crosses val="autoZero"/>
        <c:crossBetween val="between"/>
        <c:minorUnit val="0.2"/>
      </c:valAx>
      <c:valAx>
        <c:axId val="573934840"/>
        <c:scaling>
          <c:orientation val="minMax"/>
          <c:max val="40"/>
        </c:scaling>
        <c:delete val="0"/>
        <c:axPos val="r"/>
        <c:numFmt formatCode="#,##0&quot;x&quot;;[Red]\(#,##0.0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7030A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924672"/>
        <c:crosses val="max"/>
        <c:crossBetween val="between"/>
      </c:valAx>
      <c:catAx>
        <c:axId val="5739246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73934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Net Debt Paydown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Outputs!$AI$35</c:f>
              <c:strCache>
                <c:ptCount val="1"/>
                <c:pt idx="0">
                  <c:v>Net Debt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Outputs!$AI$34:$AO$34</c:f>
              <c:strCache>
                <c:ptCount val="7"/>
                <c:pt idx="0">
                  <c:v>Year</c:v>
                </c:pt>
                <c:pt idx="1">
                  <c:v>FY 27E</c:v>
                </c:pt>
                <c:pt idx="2">
                  <c:v>FY 28E</c:v>
                </c:pt>
                <c:pt idx="3">
                  <c:v>FY 29E</c:v>
                </c:pt>
                <c:pt idx="4">
                  <c:v>FY 30E</c:v>
                </c:pt>
                <c:pt idx="5">
                  <c:v>FY 31E</c:v>
                </c:pt>
                <c:pt idx="6">
                  <c:v>FY 32E</c:v>
                </c:pt>
              </c:strCache>
            </c:strRef>
          </c:cat>
          <c:val>
            <c:numRef>
              <c:f>Outputs!$AJ$35:$AO$35</c:f>
              <c:numCache>
                <c:formatCode>#,##0</c:formatCode>
                <c:ptCount val="6"/>
                <c:pt idx="0">
                  <c:v>15244.39984543368</c:v>
                </c:pt>
                <c:pt idx="1">
                  <c:v>13733.847178865451</c:v>
                </c:pt>
                <c:pt idx="2">
                  <c:v>16846.259841356212</c:v>
                </c:pt>
                <c:pt idx="3">
                  <c:v>14399.765332674784</c:v>
                </c:pt>
                <c:pt idx="4">
                  <c:v>11678.440663277932</c:v>
                </c:pt>
                <c:pt idx="5">
                  <c:v>8538.9491917593023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03-44A9-8B9B-FED5B96391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0537272"/>
        <c:axId val="620537632"/>
      </c:barChart>
      <c:catAx>
        <c:axId val="620537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0537632"/>
        <c:crosses val="autoZero"/>
        <c:auto val="1"/>
        <c:lblAlgn val="ctr"/>
        <c:lblOffset val="100"/>
        <c:noMultiLvlLbl val="0"/>
      </c:catAx>
      <c:valAx>
        <c:axId val="620537632"/>
        <c:scaling>
          <c:orientation val="minMax"/>
        </c:scaling>
        <c:delete val="0"/>
        <c:axPos val="l"/>
        <c:numFmt formatCode="&quot;$&quot;#,&quot;bn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0537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>
                <a:solidFill>
                  <a:srgbClr val="7030A0"/>
                </a:solidFill>
              </a:rPr>
              <a:t>Credit Metrics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Outputs!$AI$41</c:f>
              <c:strCache>
                <c:ptCount val="1"/>
                <c:pt idx="0">
                  <c:v>Interest Coverage Ratio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7030A0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Outputs!$AI$38:$AO$38</c15:sqref>
                  </c15:fullRef>
                </c:ext>
              </c:extLst>
              <c:f>Outputs!$AJ$38:$AO$38</c:f>
              <c:strCache>
                <c:ptCount val="6"/>
                <c:pt idx="0">
                  <c:v>FY 27E</c:v>
                </c:pt>
                <c:pt idx="1">
                  <c:v>FY 28E</c:v>
                </c:pt>
                <c:pt idx="2">
                  <c:v>FY 29E</c:v>
                </c:pt>
                <c:pt idx="3">
                  <c:v>FY 30E</c:v>
                </c:pt>
                <c:pt idx="4">
                  <c:v>FY 31E</c:v>
                </c:pt>
                <c:pt idx="5">
                  <c:v>FY 32E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Outputs!$AJ$41:$AO$41</c15:sqref>
                  </c15:fullRef>
                </c:ext>
              </c:extLst>
              <c:f>Outputs!$AK$41:$AO$41</c:f>
              <c:numCache>
                <c:formatCode>0.0"x"</c:formatCode>
                <c:ptCount val="5"/>
                <c:pt idx="0">
                  <c:v>1.8958819796586359</c:v>
                </c:pt>
                <c:pt idx="1">
                  <c:v>2.5286452265833348</c:v>
                </c:pt>
                <c:pt idx="2">
                  <c:v>2.3692817835951825</c:v>
                </c:pt>
                <c:pt idx="3">
                  <c:v>3.4982898753398084</c:v>
                </c:pt>
                <c:pt idx="4">
                  <c:v>5.1208311981371244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3F-41DA-9E71-C40F4783ADC4}"/>
            </c:ext>
          </c:extLst>
        </c:ser>
        <c:ser>
          <c:idx val="2"/>
          <c:order val="1"/>
          <c:tx>
            <c:strRef>
              <c:f>Outputs!$AI$44</c:f>
              <c:strCache>
                <c:ptCount val="1"/>
                <c:pt idx="0">
                  <c:v>Net Debt/EBITDA </c:v>
                </c:pt>
              </c:strCache>
            </c:strRef>
          </c:tx>
          <c:spPr>
            <a:ln w="28575" cap="rnd">
              <a:solidFill>
                <a:srgbClr val="FB33D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FB33D0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Outputs!$AI$38:$AO$38</c15:sqref>
                  </c15:fullRef>
                </c:ext>
              </c:extLst>
              <c:f>Outputs!$AJ$38:$AO$38</c:f>
              <c:strCache>
                <c:ptCount val="6"/>
                <c:pt idx="0">
                  <c:v>FY 27E</c:v>
                </c:pt>
                <c:pt idx="1">
                  <c:v>FY 28E</c:v>
                </c:pt>
                <c:pt idx="2">
                  <c:v>FY 29E</c:v>
                </c:pt>
                <c:pt idx="3">
                  <c:v>FY 30E</c:v>
                </c:pt>
                <c:pt idx="4">
                  <c:v>FY 31E</c:v>
                </c:pt>
                <c:pt idx="5">
                  <c:v>FY 32E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Outputs!$AJ$44:$AO$44</c15:sqref>
                  </c15:fullRef>
                </c:ext>
              </c:extLst>
              <c:f>Outputs!$AK$44:$AO$44</c:f>
              <c:numCache>
                <c:formatCode>0.0"x"</c:formatCode>
                <c:ptCount val="5"/>
                <c:pt idx="0">
                  <c:v>6.325185741502878</c:v>
                </c:pt>
                <c:pt idx="1">
                  <c:v>6.8461062066304885</c:v>
                </c:pt>
                <c:pt idx="2">
                  <c:v>5.1343649834756517</c:v>
                </c:pt>
                <c:pt idx="3">
                  <c:v>3.7929975918207055</c:v>
                </c:pt>
                <c:pt idx="4">
                  <c:v>2.4547509139248493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3F-41DA-9E71-C40F4783A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7584760"/>
        <c:axId val="727590520"/>
      </c:lineChart>
      <c:catAx>
        <c:axId val="727584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590520"/>
        <c:crosses val="autoZero"/>
        <c:auto val="1"/>
        <c:lblAlgn val="ctr"/>
        <c:lblOffset val="100"/>
        <c:noMultiLvlLbl val="0"/>
      </c:catAx>
      <c:valAx>
        <c:axId val="727590520"/>
        <c:scaling>
          <c:orientation val="minMax"/>
        </c:scaling>
        <c:delete val="0"/>
        <c:axPos val="l"/>
        <c:numFmt formatCode="0.0&quot;x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584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Outputs!$AI$48</c:f>
              <c:strCache>
                <c:ptCount val="1"/>
                <c:pt idx="0">
                  <c:v>EBITDA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Outputs!$AI$47:$AO$47</c:f>
              <c:strCache>
                <c:ptCount val="7"/>
                <c:pt idx="0">
                  <c:v>Year</c:v>
                </c:pt>
                <c:pt idx="1">
                  <c:v>FY 27E</c:v>
                </c:pt>
                <c:pt idx="2">
                  <c:v>FY 28E</c:v>
                </c:pt>
                <c:pt idx="3">
                  <c:v>FY 29E</c:v>
                </c:pt>
                <c:pt idx="4">
                  <c:v>FY 30E</c:v>
                </c:pt>
                <c:pt idx="5">
                  <c:v>FY 31E</c:v>
                </c:pt>
                <c:pt idx="6">
                  <c:v>FY 32E</c:v>
                </c:pt>
              </c:strCache>
            </c:strRef>
          </c:cat>
          <c:val>
            <c:numRef>
              <c:f>Outputs!$AJ$48:$AO$48</c:f>
              <c:numCache>
                <c:formatCode>0.0</c:formatCode>
                <c:ptCount val="6"/>
                <c:pt idx="0">
                  <c:v>2046.9037940000005</c:v>
                </c:pt>
                <c:pt idx="1">
                  <c:v>2171.2954749692867</c:v>
                </c:pt>
                <c:pt idx="2">
                  <c:v>2460.7067627786032</c:v>
                </c:pt>
                <c:pt idx="3">
                  <c:v>2804.5854509795722</c:v>
                </c:pt>
                <c:pt idx="4">
                  <c:v>3078.9475554800115</c:v>
                </c:pt>
                <c:pt idx="5">
                  <c:v>3478.5399786679604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9A-413C-B1DA-8862FF686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6680336"/>
        <c:axId val="686676736"/>
      </c:barChart>
      <c:lineChart>
        <c:grouping val="standard"/>
        <c:varyColors val="0"/>
        <c:ser>
          <c:idx val="2"/>
          <c:order val="1"/>
          <c:tx>
            <c:strRef>
              <c:f>Outputs!$AI$49</c:f>
              <c:strCache>
                <c:ptCount val="1"/>
                <c:pt idx="0">
                  <c:v>EBITDA Margin</c:v>
                </c:pt>
              </c:strCache>
            </c:strRef>
          </c:tx>
          <c:spPr>
            <a:ln w="28575" cap="rnd">
              <a:solidFill>
                <a:srgbClr val="FB33D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B33D0"/>
              </a:solidFill>
              <a:ln w="9525">
                <a:solidFill>
                  <a:srgbClr val="FB33D0"/>
                </a:solidFill>
              </a:ln>
              <a:effectLst/>
            </c:spPr>
          </c:marker>
          <c:val>
            <c:numRef>
              <c:f>Outputs!$AJ$49:$AO$49</c:f>
              <c:numCache>
                <c:formatCode>0.0%</c:formatCode>
                <c:ptCount val="6"/>
                <c:pt idx="0">
                  <c:v>0.24333333333333335</c:v>
                </c:pt>
                <c:pt idx="1">
                  <c:v>0.25216666666433846</c:v>
                </c:pt>
                <c:pt idx="2">
                  <c:v>0.27266666666201006</c:v>
                </c:pt>
                <c:pt idx="3">
                  <c:v>0.29316666665968188</c:v>
                </c:pt>
                <c:pt idx="4">
                  <c:v>0.31366666665735349</c:v>
                </c:pt>
                <c:pt idx="5">
                  <c:v>0.33749999999068686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29A-413C-B1DA-8862FF686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6678536"/>
        <c:axId val="686685016"/>
      </c:lineChart>
      <c:catAx>
        <c:axId val="68668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676736"/>
        <c:crosses val="autoZero"/>
        <c:auto val="1"/>
        <c:lblAlgn val="ctr"/>
        <c:lblOffset val="100"/>
        <c:noMultiLvlLbl val="0"/>
      </c:catAx>
      <c:valAx>
        <c:axId val="686676736"/>
        <c:scaling>
          <c:orientation val="minMax"/>
          <c:max val="4000"/>
        </c:scaling>
        <c:delete val="0"/>
        <c:axPos val="l"/>
        <c:numFmt formatCode="&quot;$&quot;##,##0&quot;mn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680336"/>
        <c:crosses val="autoZero"/>
        <c:crossBetween val="between"/>
        <c:majorUnit val="500"/>
      </c:valAx>
      <c:valAx>
        <c:axId val="686685016"/>
        <c:scaling>
          <c:orientation val="minMax"/>
          <c:max val="0.35000000000000003"/>
        </c:scaling>
        <c:delete val="0"/>
        <c:axPos val="r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678536"/>
        <c:crosses val="max"/>
        <c:crossBetween val="between"/>
      </c:valAx>
      <c:catAx>
        <c:axId val="686678536"/>
        <c:scaling>
          <c:orientation val="minMax"/>
        </c:scaling>
        <c:delete val="1"/>
        <c:axPos val="b"/>
        <c:majorTickMark val="none"/>
        <c:minorTickMark val="none"/>
        <c:tickLblPos val="nextTo"/>
        <c:crossAx val="6866850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</a:rPr>
              <a:t>Revenue by Region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Outputs!$AJ$54</c:f>
              <c:strCache>
                <c:ptCount val="1"/>
                <c:pt idx="0">
                  <c:v>FY2025A</c:v>
                </c:pt>
              </c:strCache>
            </c:strRef>
          </c:tx>
          <c:spPr>
            <a:solidFill>
              <a:srgbClr val="7030A0"/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8C5-479E-8BF5-767BCE4045A2}"/>
              </c:ext>
            </c:extLst>
          </c:dPt>
          <c:dPt>
            <c:idx val="1"/>
            <c:bubble3D val="0"/>
            <c:spPr>
              <a:solidFill>
                <a:srgbClr val="FB33D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98C5-479E-8BF5-767BCE4045A2}"/>
              </c:ext>
            </c:extLst>
          </c:dPt>
          <c:dLbls>
            <c:dLbl>
              <c:idx val="0"/>
              <c:layout>
                <c:manualLayout>
                  <c:x val="-8.2988985157957818E-3"/>
                  <c:y val="4.1500771019190419E-2"/>
                </c:manualLayout>
              </c:layout>
              <c:tx>
                <c:rich>
                  <a:bodyPr/>
                  <a:lstStyle/>
                  <a:p>
                    <a:fld id="{5FC09782-3ED1-43F3-AA8E-DDFDAC08EAB0}" type="PERCENTAGE">
                      <a:rPr lang="en-US" sz="1200">
                        <a:solidFill>
                          <a:schemeClr val="bg1"/>
                        </a:solidFill>
                      </a:rPr>
                      <a:pPr/>
                      <a:t>[PERCENTAGE]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98C5-479E-8BF5-767BCE4045A2}"/>
                </c:ext>
              </c:extLst>
            </c:dLbl>
            <c:dLbl>
              <c:idx val="1"/>
              <c:layout>
                <c:manualLayout>
                  <c:x val="-4.0882350433451293E-5"/>
                  <c:y val="8.9269937202635426E-3"/>
                </c:manualLayout>
              </c:layout>
              <c:tx>
                <c:rich>
                  <a:bodyPr/>
                  <a:lstStyle/>
                  <a:p>
                    <a:fld id="{77CEB78A-4BC1-4AC0-B61B-F2B539E1C45A}" type="PERCENTAGE">
                      <a:rPr lang="en-US" sz="1200">
                        <a:solidFill>
                          <a:schemeClr val="bg1"/>
                        </a:solidFill>
                      </a:rPr>
                      <a:pPr/>
                      <a:t>[PERCENTAGE]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98C5-479E-8BF5-767BCE4045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Outputs!$AI$55:$AI$56</c:f>
              <c:strCache>
                <c:ptCount val="2"/>
                <c:pt idx="0">
                  <c:v>International</c:v>
                </c:pt>
                <c:pt idx="1">
                  <c:v>North America</c:v>
                </c:pt>
              </c:strCache>
            </c:strRef>
          </c:cat>
          <c:val>
            <c:numRef>
              <c:f>Outputs!$AJ$55:$AJ$56</c:f>
              <c:numCache>
                <c:formatCode>General</c:formatCode>
                <c:ptCount val="2"/>
                <c:pt idx="0">
                  <c:v>4385</c:v>
                </c:pt>
                <c:pt idx="1">
                  <c:v>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5-479E-8BF5-767BCE404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Revenue</a:t>
            </a:r>
            <a:r>
              <a:rPr lang="en-US" b="1" baseline="0">
                <a:solidFill>
                  <a:schemeClr val="tx1"/>
                </a:solidFill>
              </a:rPr>
              <a:t> by Product Type</a:t>
            </a:r>
            <a:endParaRPr lang="en-US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1"/>
          <c:order val="0"/>
          <c:tx>
            <c:strRef>
              <c:f>Outputs!$AN$54</c:f>
              <c:strCache>
                <c:ptCount val="1"/>
                <c:pt idx="0">
                  <c:v>FY2025A</c:v>
                </c:pt>
              </c:strCache>
            </c:strRef>
          </c:tx>
          <c:spPr>
            <a:solidFill>
              <a:srgbClr val="7030A0"/>
            </a:solidFill>
          </c:spPr>
          <c:dPt>
            <c:idx val="0"/>
            <c:bubble3D val="0"/>
            <c:spPr>
              <a:solidFill>
                <a:srgbClr val="F509D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31DB-4480-9392-4199A995D9F1}"/>
              </c:ext>
            </c:extLst>
          </c:dPt>
          <c:dPt>
            <c:idx val="1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1DB-4480-9392-4199A995D9F1}"/>
              </c:ext>
            </c:extLst>
          </c:dPt>
          <c:dLbls>
            <c:dLbl>
              <c:idx val="0"/>
              <c:layout>
                <c:manualLayout>
                  <c:x val="-0.10532819335083114"/>
                  <c:y val="-0.13476122776319627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1DB-4480-9392-4199A995D9F1}"/>
                </c:ext>
              </c:extLst>
            </c:dLbl>
            <c:dLbl>
              <c:idx val="1"/>
              <c:layout>
                <c:manualLayout>
                  <c:x val="9.213199912510936E-2"/>
                  <c:y val="0.12057305336832896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1DB-4480-9392-4199A995D9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Outputs!$AL$55:$AL$56</c:f>
              <c:strCache>
                <c:ptCount val="2"/>
                <c:pt idx="0">
                  <c:v>Live-Services</c:v>
                </c:pt>
                <c:pt idx="1">
                  <c:v>Full-Game Sales</c:v>
                </c:pt>
              </c:strCache>
            </c:strRef>
          </c:cat>
          <c:val>
            <c:numRef>
              <c:f>Outputs!$AN$55:$AN$56</c:f>
              <c:numCache>
                <c:formatCode>#,##0</c:formatCode>
                <c:ptCount val="2"/>
                <c:pt idx="0">
                  <c:v>5461</c:v>
                </c:pt>
                <c:pt idx="1">
                  <c:v>2002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B-4480-9392-4199A995D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405227471566054"/>
          <c:y val="0.85705950123510122"/>
          <c:w val="0.61340741916449892"/>
          <c:h val="0.110540427414212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Outputs!$AI$61</c:f>
              <c:strCache>
                <c:ptCount val="1"/>
                <c:pt idx="0">
                  <c:v>EBITDA Margin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val>
            <c:numRef>
              <c:f>Outputs!$AJ$61:$AO$61</c:f>
              <c:numCache>
                <c:formatCode>0.0%</c:formatCode>
                <c:ptCount val="6"/>
                <c:pt idx="0">
                  <c:v>0.24333333333333335</c:v>
                </c:pt>
                <c:pt idx="1">
                  <c:v>0.25216666666433846</c:v>
                </c:pt>
                <c:pt idx="2">
                  <c:v>0.27266666666201006</c:v>
                </c:pt>
                <c:pt idx="3">
                  <c:v>0.29316666665968188</c:v>
                </c:pt>
                <c:pt idx="4">
                  <c:v>0.31366666665735349</c:v>
                </c:pt>
                <c:pt idx="5">
                  <c:v>0.33749999999068686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A4-4F63-8C5B-837C6CD1E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24689152"/>
        <c:axId val="7246880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Outputs!$AI$60</c15:sqref>
                        </c15:formulaRef>
                      </c:ext>
                    </c:extLst>
                    <c:strCache>
                      <c:ptCount val="1"/>
                      <c:pt idx="0">
                        <c:v>Year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val>
                  <c:numRef>
                    <c:extLst>
                      <c:ext uri="{02D57815-91ED-43cb-92C2-25804820EDAC}">
                        <c15:formulaRef>
                          <c15:sqref>Outputs!$AJ$60:$AO$60</c15:sqref>
                        </c15:formulaRef>
                      </c:ext>
                    </c:extLst>
                    <c:numCache>
                      <c:formatCode>"FY "0"E"</c:formatCode>
                      <c:ptCount val="6"/>
                      <c:pt idx="0">
                        <c:v>27</c:v>
                      </c:pt>
                      <c:pt idx="1">
                        <c:v>28</c:v>
                      </c:pt>
                      <c:pt idx="2">
                        <c:v>29</c:v>
                      </c:pt>
                      <c:pt idx="3">
                        <c:v>30</c:v>
                      </c:pt>
                      <c:pt idx="4">
                        <c:v>31</c:v>
                      </c:pt>
                      <c:pt idx="5">
                        <c:v>32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9A4-4F63-8C5B-837C6CD1E856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2"/>
          <c:order val="2"/>
          <c:tx>
            <c:strRef>
              <c:f>Outputs!$AI$62</c:f>
              <c:strCache>
                <c:ptCount val="1"/>
                <c:pt idx="0">
                  <c:v>R&amp;D Margin</c:v>
                </c:pt>
              </c:strCache>
            </c:strRef>
          </c:tx>
          <c:spPr>
            <a:ln w="28575" cap="rnd">
              <a:solidFill>
                <a:srgbClr val="FB33D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F509D9"/>
                </a:solidFill>
              </a:ln>
              <a:effectLst/>
            </c:spPr>
          </c:marker>
          <c:val>
            <c:numRef>
              <c:f>Outputs!$AJ$62:$AO$62</c:f>
              <c:numCache>
                <c:formatCode>0.0%</c:formatCode>
                <c:ptCount val="6"/>
                <c:pt idx="0">
                  <c:v>0.34499999999999997</c:v>
                </c:pt>
                <c:pt idx="1">
                  <c:v>0.34499999999999997</c:v>
                </c:pt>
                <c:pt idx="2">
                  <c:v>0.33999999999999997</c:v>
                </c:pt>
                <c:pt idx="3">
                  <c:v>0.32333333333333331</c:v>
                </c:pt>
                <c:pt idx="4">
                  <c:v>0.30666666666666664</c:v>
                </c:pt>
                <c:pt idx="5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A4-4F63-8C5B-837C6CD1E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4690232"/>
        <c:axId val="724693832"/>
      </c:lineChart>
      <c:dateAx>
        <c:axId val="724689152"/>
        <c:scaling>
          <c:orientation val="minMax"/>
        </c:scaling>
        <c:delete val="0"/>
        <c:axPos val="b"/>
        <c:numFmt formatCode="&quot;FY &quot;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688072"/>
        <c:crosses val="autoZero"/>
        <c:auto val="0"/>
        <c:lblOffset val="100"/>
        <c:baseTimeUnit val="days"/>
      </c:dateAx>
      <c:valAx>
        <c:axId val="72468807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689152"/>
        <c:crossesAt val="1"/>
        <c:crossBetween val="between"/>
      </c:valAx>
      <c:valAx>
        <c:axId val="724693832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690232"/>
        <c:crosses val="max"/>
        <c:crossBetween val="between"/>
      </c:valAx>
      <c:catAx>
        <c:axId val="724690232"/>
        <c:scaling>
          <c:orientation val="minMax"/>
        </c:scaling>
        <c:delete val="1"/>
        <c:axPos val="b"/>
        <c:majorTickMark val="out"/>
        <c:minorTickMark val="none"/>
        <c:tickLblPos val="nextTo"/>
        <c:crossAx val="7246938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Outputs!$AI$66</c:f>
              <c:strCache>
                <c:ptCount val="1"/>
                <c:pt idx="0">
                  <c:v>Live-Services Growth Rate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Outputs!$AJ$65:$AO$65</c:f>
              <c:numCache>
                <c:formatCode>"FY "0"E"</c:formatCode>
                <c:ptCount val="6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30</c:v>
                </c:pt>
                <c:pt idx="4">
                  <c:v>31</c:v>
                </c:pt>
                <c:pt idx="5">
                  <c:v>32</c:v>
                </c:pt>
              </c:numCache>
            </c:numRef>
          </c:cat>
          <c:val>
            <c:numRef>
              <c:f>Outputs!$AJ$66:$AO$66</c:f>
              <c:numCache>
                <c:formatCode>0.0%</c:formatCode>
                <c:ptCount val="6"/>
                <c:pt idx="0">
                  <c:v>7.0000000000000007E-2</c:v>
                </c:pt>
                <c:pt idx="1">
                  <c:v>2.5000000000000001E-2</c:v>
                </c:pt>
                <c:pt idx="2">
                  <c:v>5.5E-2</c:v>
                </c:pt>
                <c:pt idx="3">
                  <c:v>7.4999999999999997E-2</c:v>
                </c:pt>
                <c:pt idx="4">
                  <c:v>0.03</c:v>
                </c:pt>
                <c:pt idx="5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18-4ED4-BEBD-FAC290BD2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8056632"/>
        <c:axId val="1088055192"/>
      </c:barChart>
      <c:catAx>
        <c:axId val="1088056632"/>
        <c:scaling>
          <c:orientation val="minMax"/>
        </c:scaling>
        <c:delete val="0"/>
        <c:axPos val="b"/>
        <c:numFmt formatCode="&quot;FY &quot;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8055192"/>
        <c:crosses val="autoZero"/>
        <c:auto val="1"/>
        <c:lblAlgn val="ctr"/>
        <c:lblOffset val="100"/>
        <c:noMultiLvlLbl val="0"/>
      </c:catAx>
      <c:valAx>
        <c:axId val="108805519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8056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Revenue</a:t>
            </a:r>
            <a:r>
              <a:rPr lang="en-US" b="1" baseline="0">
                <a:solidFill>
                  <a:sysClr val="windowText" lastClr="000000"/>
                </a:solidFill>
              </a:rPr>
              <a:t> by Platform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Outputs!$AJ$68</c:f>
              <c:strCache>
                <c:ptCount val="1"/>
                <c:pt idx="0">
                  <c:v>FY2025</c:v>
                </c:pt>
              </c:strCache>
            </c:strRef>
          </c:tx>
          <c:dPt>
            <c:idx val="0"/>
            <c:bubble3D val="0"/>
            <c:spPr>
              <a:solidFill>
                <a:srgbClr val="FB33D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E16C-4E28-B575-A7EF1B58311A}"/>
              </c:ext>
            </c:extLst>
          </c:dPt>
          <c:dPt>
            <c:idx val="1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16C-4E28-B575-A7EF1B58311A}"/>
              </c:ext>
            </c:extLst>
          </c:dPt>
          <c:dPt>
            <c:idx val="2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16C-4E28-B575-A7EF1B58311A}"/>
              </c:ext>
            </c:extLst>
          </c:dPt>
          <c:dLbls>
            <c:dLbl>
              <c:idx val="0"/>
              <c:layout>
                <c:manualLayout>
                  <c:x val="-7.5917555291633618E-2"/>
                  <c:y val="0.1404680664916885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16C-4E28-B575-A7EF1B58311A}"/>
                </c:ext>
              </c:extLst>
            </c:dLbl>
            <c:dLbl>
              <c:idx val="1"/>
              <c:layout>
                <c:manualLayout>
                  <c:x val="-0.10313954730422091"/>
                  <c:y val="8.4499854184893553E-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16C-4E28-B575-A7EF1B58311A}"/>
                </c:ext>
              </c:extLst>
            </c:dLbl>
            <c:dLbl>
              <c:idx val="2"/>
              <c:layout>
                <c:manualLayout>
                  <c:x val="0.12360939485398824"/>
                  <c:y val="-6.3599445902595503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6C-4E28-B575-A7EF1B5831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Outputs!$AI$69:$AI$71</c:f>
              <c:strCache>
                <c:ptCount val="3"/>
                <c:pt idx="0">
                  <c:v>Mobile</c:v>
                </c:pt>
                <c:pt idx="1">
                  <c:v>PC and Other</c:v>
                </c:pt>
                <c:pt idx="2">
                  <c:v>Console</c:v>
                </c:pt>
              </c:strCache>
            </c:strRef>
          </c:cat>
          <c:val>
            <c:numRef>
              <c:f>Outputs!$AJ$69:$AJ$71</c:f>
              <c:numCache>
                <c:formatCode>General</c:formatCode>
                <c:ptCount val="3"/>
                <c:pt idx="0">
                  <c:v>1140</c:v>
                </c:pt>
                <c:pt idx="1">
                  <c:v>1547</c:v>
                </c:pt>
                <c:pt idx="2">
                  <c:v>4776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6C-4E28-B575-A7EF1B58311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5</xdr:row>
      <xdr:rowOff>123826</xdr:rowOff>
    </xdr:from>
    <xdr:to>
      <xdr:col>11</xdr:col>
      <xdr:colOff>238125</xdr:colOff>
      <xdr:row>10</xdr:row>
      <xdr:rowOff>104824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7F87A3E3-9246-9C56-D96C-1EFD0B9FB72D}"/>
            </a:ext>
          </a:extLst>
        </xdr:cNvPr>
        <xdr:cNvGrpSpPr/>
      </xdr:nvGrpSpPr>
      <xdr:grpSpPr>
        <a:xfrm>
          <a:off x="1285875" y="1221106"/>
          <a:ext cx="5657850" cy="895398"/>
          <a:chOff x="661435" y="3115649"/>
          <a:chExt cx="8866286" cy="1462863"/>
        </a:xfrm>
      </xdr:grpSpPr>
      <xdr:pic>
        <xdr:nvPicPr>
          <xdr:cNvPr id="3" name="Picture 2" descr="Electronic Arts Logo - EA Download Vector">
            <a:extLst>
              <a:ext uri="{FF2B5EF4-FFF2-40B4-BE49-F238E27FC236}">
                <a16:creationId xmlns:a16="http://schemas.microsoft.com/office/drawing/2014/main" id="{A45B2087-E1BE-4A32-0C9F-4752EA3CBE3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295271" y="3385784"/>
            <a:ext cx="7232450" cy="85697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4" name="Picture 3" descr="Electronic Arts Logo EA png image | ? logo, Art logo, Electronic art">
            <a:extLst>
              <a:ext uri="{FF2B5EF4-FFF2-40B4-BE49-F238E27FC236}">
                <a16:creationId xmlns:a16="http://schemas.microsoft.com/office/drawing/2014/main" id="{1675814B-4B4E-85A4-0051-06A9B04EBB3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61435" y="3115649"/>
            <a:ext cx="1462863" cy="1462863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1</xdr:col>
      <xdr:colOff>238125</xdr:colOff>
      <xdr:row>13</xdr:row>
      <xdr:rowOff>47626</xdr:rowOff>
    </xdr:from>
    <xdr:to>
      <xdr:col>11</xdr:col>
      <xdr:colOff>570268</xdr:colOff>
      <xdr:row>19</xdr:row>
      <xdr:rowOff>38101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4F8D0CBD-6946-9A79-9EE1-DAF2DB949B70}"/>
            </a:ext>
          </a:extLst>
        </xdr:cNvPr>
        <xdr:cNvGrpSpPr/>
      </xdr:nvGrpSpPr>
      <xdr:grpSpPr>
        <a:xfrm>
          <a:off x="847725" y="2867026"/>
          <a:ext cx="6428143" cy="1133475"/>
          <a:chOff x="388532" y="5390189"/>
          <a:chExt cx="9509934" cy="1747345"/>
        </a:xfrm>
      </xdr:grpSpPr>
      <xdr:pic>
        <xdr:nvPicPr>
          <xdr:cNvPr id="6" name="Picture 5">
            <a:extLst>
              <a:ext uri="{FF2B5EF4-FFF2-40B4-BE49-F238E27FC236}">
                <a16:creationId xmlns:a16="http://schemas.microsoft.com/office/drawing/2014/main" id="{FB6BA3DF-D2BB-25A4-C52F-D6FDA5F4537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388532" y="5390189"/>
            <a:ext cx="3428999" cy="1747345"/>
          </a:xfrm>
          <a:prstGeom prst="rect">
            <a:avLst/>
          </a:prstGeom>
        </xdr:spPr>
      </xdr:pic>
      <xdr:pic>
        <xdr:nvPicPr>
          <xdr:cNvPr id="7" name="Picture 6" descr="Silver Lake: Contact Details and Business Profile">
            <a:extLst>
              <a:ext uri="{FF2B5EF4-FFF2-40B4-BE49-F238E27FC236}">
                <a16:creationId xmlns:a16="http://schemas.microsoft.com/office/drawing/2014/main" id="{7BA27167-0B0A-3CBD-F3DA-C8260765387D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-10068" t="25113" r="-2710" b="25921"/>
          <a:stretch/>
        </xdr:blipFill>
        <xdr:spPr bwMode="auto">
          <a:xfrm>
            <a:off x="3538326" y="5542116"/>
            <a:ext cx="3210346" cy="1443488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8B348FAB-8774-C8C8-56C5-BB3C80E0693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/>
          <a:stretch>
            <a:fillRect/>
          </a:stretch>
        </xdr:blipFill>
        <xdr:spPr>
          <a:xfrm>
            <a:off x="6789886" y="5819115"/>
            <a:ext cx="3108580" cy="889489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141514</xdr:colOff>
      <xdr:row>54</xdr:row>
      <xdr:rowOff>65315</xdr:rowOff>
    </xdr:from>
    <xdr:to>
      <xdr:col>22</xdr:col>
      <xdr:colOff>398332</xdr:colOff>
      <xdr:row>66</xdr:row>
      <xdr:rowOff>133351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58CD56F-1C14-19F7-396F-07D7449FA2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590548</xdr:colOff>
      <xdr:row>54</xdr:row>
      <xdr:rowOff>189139</xdr:rowOff>
    </xdr:from>
    <xdr:to>
      <xdr:col>7</xdr:col>
      <xdr:colOff>109763</xdr:colOff>
      <xdr:row>66</xdr:row>
      <xdr:rowOff>186418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CD4BE01-2ACF-F74D-D85F-6671E2FB83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384740</xdr:colOff>
      <xdr:row>54</xdr:row>
      <xdr:rowOff>43542</xdr:rowOff>
    </xdr:from>
    <xdr:to>
      <xdr:col>15</xdr:col>
      <xdr:colOff>146147</xdr:colOff>
      <xdr:row>66</xdr:row>
      <xdr:rowOff>187098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E380324-8D83-D0C0-67DF-1983917CB6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496661</xdr:colOff>
      <xdr:row>54</xdr:row>
      <xdr:rowOff>72119</xdr:rowOff>
    </xdr:from>
    <xdr:to>
      <xdr:col>31</xdr:col>
      <xdr:colOff>118661</xdr:colOff>
      <xdr:row>66</xdr:row>
      <xdr:rowOff>123825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5717585-5384-899B-A270-30C7BA09AC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589552</xdr:colOff>
      <xdr:row>70</xdr:row>
      <xdr:rowOff>154268</xdr:rowOff>
    </xdr:from>
    <xdr:to>
      <xdr:col>6</xdr:col>
      <xdr:colOff>556551</xdr:colOff>
      <xdr:row>84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E7C5A3DA-637B-43DD-853F-4D29BFD190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676577</xdr:colOff>
      <xdr:row>71</xdr:row>
      <xdr:rowOff>13307</xdr:rowOff>
    </xdr:from>
    <xdr:to>
      <xdr:col>15</xdr:col>
      <xdr:colOff>40822</xdr:colOff>
      <xdr:row>84</xdr:row>
      <xdr:rowOff>69354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6565E544-041E-47CF-91CF-622B82AD30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600416</xdr:colOff>
      <xdr:row>71</xdr:row>
      <xdr:rowOff>74159</xdr:rowOff>
    </xdr:from>
    <xdr:to>
      <xdr:col>22</xdr:col>
      <xdr:colOff>357188</xdr:colOff>
      <xdr:row>84</xdr:row>
      <xdr:rowOff>22199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B5D20EC-9355-5A34-F7F5-EB62F40A1C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24</xdr:col>
      <xdr:colOff>53578</xdr:colOff>
      <xdr:row>71</xdr:row>
      <xdr:rowOff>15478</xdr:rowOff>
    </xdr:from>
    <xdr:to>
      <xdr:col>31</xdr:col>
      <xdr:colOff>375047</xdr:colOff>
      <xdr:row>85</xdr:row>
      <xdr:rowOff>91678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0E08960-95E5-1D86-9B9A-71760FA400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32</xdr:col>
      <xdr:colOff>396640</xdr:colOff>
      <xdr:row>71</xdr:row>
      <xdr:rowOff>31195</xdr:rowOff>
    </xdr:from>
    <xdr:to>
      <xdr:col>37</xdr:col>
      <xdr:colOff>246529</xdr:colOff>
      <xdr:row>85</xdr:row>
      <xdr:rowOff>67234</xdr:rowOff>
    </xdr:to>
    <xdr:graphicFrame macro="">
      <xdr:nvGraphicFramePr>
        <xdr:cNvPr id="6" name="Chart 11">
          <a:extLst>
            <a:ext uri="{FF2B5EF4-FFF2-40B4-BE49-F238E27FC236}">
              <a16:creationId xmlns:a16="http://schemas.microsoft.com/office/drawing/2014/main" id="{0E4124B4-1B0B-E174-8127-722B32416F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423334</xdr:colOff>
      <xdr:row>92</xdr:row>
      <xdr:rowOff>9525</xdr:rowOff>
    </xdr:from>
    <xdr:to>
      <xdr:col>15</xdr:col>
      <xdr:colOff>84667</xdr:colOff>
      <xdr:row>106</xdr:row>
      <xdr:rowOff>64558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FB4B007C-D517-23A3-61BC-6EE477E2F1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38</xdr:col>
      <xdr:colOff>79844</xdr:colOff>
      <xdr:row>71</xdr:row>
      <xdr:rowOff>19109</xdr:rowOff>
    </xdr:from>
    <xdr:to>
      <xdr:col>45</xdr:col>
      <xdr:colOff>78441</xdr:colOff>
      <xdr:row>85</xdr:row>
      <xdr:rowOff>53158</xdr:rowOff>
    </xdr:to>
    <xdr:graphicFrame macro="">
      <xdr:nvGraphicFramePr>
        <xdr:cNvPr id="12" name="Chart 15">
          <a:extLst>
            <a:ext uri="{FF2B5EF4-FFF2-40B4-BE49-F238E27FC236}">
              <a16:creationId xmlns:a16="http://schemas.microsoft.com/office/drawing/2014/main" id="{A66EFE1F-B6EF-4B8B-5339-5D03444058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3</xdr:row>
      <xdr:rowOff>4762</xdr:rowOff>
    </xdr:from>
    <xdr:to>
      <xdr:col>10</xdr:col>
      <xdr:colOff>142875</xdr:colOff>
      <xdr:row>17</xdr:row>
      <xdr:rowOff>71437</xdr:rowOff>
    </xdr:to>
    <xdr:graphicFrame macro="">
      <xdr:nvGraphicFramePr>
        <xdr:cNvPr id="48" name="Chart 1">
          <a:extLst>
            <a:ext uri="{FF2B5EF4-FFF2-40B4-BE49-F238E27FC236}">
              <a16:creationId xmlns:a16="http://schemas.microsoft.com/office/drawing/2014/main" id="{B0514510-DAF8-8211-E7CC-4E59369173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161925</xdr:colOff>
      <xdr:row>11</xdr:row>
      <xdr:rowOff>157162</xdr:rowOff>
    </xdr:from>
    <xdr:to>
      <xdr:col>17</xdr:col>
      <xdr:colOff>161925</xdr:colOff>
      <xdr:row>27</xdr:row>
      <xdr:rowOff>4762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EC56D10-FA1B-DA6C-B5E9-4805006ED2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671512</xdr:colOff>
      <xdr:row>43</xdr:row>
      <xdr:rowOff>114300</xdr:rowOff>
    </xdr:from>
    <xdr:to>
      <xdr:col>14</xdr:col>
      <xdr:colOff>433387</xdr:colOff>
      <xdr:row>58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B048D3-94B4-4F27-A0F9-D128D88754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linkedin.com/company/lsesu-private-equity-society/" TargetMode="External"/><Relationship Id="rId1" Type="http://schemas.openxmlformats.org/officeDocument/2006/relationships/hyperlink" Target="https://www.lsepes.com/report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24"/>
  <sheetViews>
    <sheetView showGridLines="0" workbookViewId="0">
      <selection activeCell="B3" sqref="B3"/>
    </sheetView>
  </sheetViews>
  <sheetFormatPr defaultColWidth="8.88671875" defaultRowHeight="14.4" x14ac:dyDescent="0.3"/>
  <sheetData>
    <row r="2" spans="2:16" ht="15" thickBot="1" x14ac:dyDescent="0.35"/>
    <row r="3" spans="2:16" ht="15" thickTop="1" x14ac:dyDescent="0.3">
      <c r="B3" s="245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7"/>
    </row>
    <row r="4" spans="2:16" x14ac:dyDescent="0.3">
      <c r="B4" s="248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50"/>
    </row>
    <row r="5" spans="2:16" ht="27.75" customHeight="1" x14ac:dyDescent="0.6">
      <c r="B5" s="248"/>
      <c r="C5" s="303" t="s">
        <v>0</v>
      </c>
      <c r="D5" s="303"/>
      <c r="E5" s="303"/>
      <c r="F5" s="303"/>
      <c r="G5" s="303"/>
      <c r="H5" s="303"/>
      <c r="I5" s="303"/>
      <c r="J5" s="303"/>
      <c r="K5" s="303"/>
      <c r="L5" s="303"/>
      <c r="M5" s="250"/>
    </row>
    <row r="6" spans="2:16" x14ac:dyDescent="0.3">
      <c r="B6" s="248"/>
      <c r="C6" s="249"/>
      <c r="D6" s="249"/>
      <c r="E6" s="249"/>
      <c r="F6" s="249"/>
      <c r="G6" s="249"/>
      <c r="H6" s="249"/>
      <c r="I6" s="249"/>
      <c r="J6" s="249"/>
      <c r="K6" s="249"/>
      <c r="L6" s="249"/>
      <c r="M6" s="250"/>
    </row>
    <row r="7" spans="2:16" x14ac:dyDescent="0.3">
      <c r="B7" s="248"/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50"/>
    </row>
    <row r="8" spans="2:16" x14ac:dyDescent="0.3">
      <c r="B8" s="248"/>
      <c r="C8" s="249"/>
      <c r="D8" s="249"/>
      <c r="E8" s="249"/>
      <c r="F8" s="249"/>
      <c r="G8" s="249"/>
      <c r="H8" s="249"/>
      <c r="I8" s="249"/>
      <c r="J8" s="249"/>
      <c r="K8" s="249"/>
      <c r="L8" s="249"/>
      <c r="M8" s="250"/>
    </row>
    <row r="9" spans="2:16" x14ac:dyDescent="0.3">
      <c r="B9" s="248"/>
      <c r="C9" s="249"/>
      <c r="D9" s="249"/>
      <c r="E9" s="249"/>
      <c r="F9" s="249"/>
      <c r="G9" s="249"/>
      <c r="H9" s="249"/>
      <c r="I9" s="249"/>
      <c r="J9" s="249"/>
      <c r="K9" s="249"/>
      <c r="L9" s="249"/>
      <c r="M9" s="250"/>
    </row>
    <row r="10" spans="2:16" x14ac:dyDescent="0.3">
      <c r="B10" s="248"/>
      <c r="C10" s="249"/>
      <c r="D10" s="249"/>
      <c r="E10" s="249"/>
      <c r="F10" s="249"/>
      <c r="G10" s="249"/>
      <c r="H10" s="249"/>
      <c r="I10" s="249"/>
      <c r="J10" s="249"/>
      <c r="K10" s="249"/>
      <c r="L10" s="249"/>
      <c r="M10" s="250"/>
    </row>
    <row r="11" spans="2:16" ht="18" x14ac:dyDescent="0.35">
      <c r="B11" s="248"/>
      <c r="C11" s="249"/>
      <c r="D11" s="249"/>
      <c r="E11" s="249"/>
      <c r="F11" s="249"/>
      <c r="G11" s="249"/>
      <c r="H11" s="249"/>
      <c r="I11" s="251"/>
      <c r="J11" s="249"/>
      <c r="K11" s="249"/>
      <c r="L11" s="249"/>
      <c r="M11" s="250"/>
    </row>
    <row r="12" spans="2:16" ht="31.2" x14ac:dyDescent="0.6">
      <c r="B12" s="248"/>
      <c r="C12" s="303" t="s">
        <v>1</v>
      </c>
      <c r="D12" s="303"/>
      <c r="E12" s="303"/>
      <c r="F12" s="303"/>
      <c r="G12" s="303"/>
      <c r="H12" s="303"/>
      <c r="I12" s="303"/>
      <c r="J12" s="303"/>
      <c r="K12" s="303"/>
      <c r="L12" s="303"/>
      <c r="M12" s="250"/>
    </row>
    <row r="13" spans="2:16" x14ac:dyDescent="0.3">
      <c r="B13" s="248"/>
      <c r="C13" s="249"/>
      <c r="D13" s="249"/>
      <c r="E13" s="249"/>
      <c r="F13" s="249"/>
      <c r="G13" s="249"/>
      <c r="H13" s="249"/>
      <c r="I13" s="249"/>
      <c r="J13" s="249"/>
      <c r="K13" s="249"/>
      <c r="L13" s="249"/>
      <c r="M13" s="250"/>
    </row>
    <row r="14" spans="2:16" x14ac:dyDescent="0.3">
      <c r="B14" s="248"/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50"/>
    </row>
    <row r="15" spans="2:16" x14ac:dyDescent="0.3">
      <c r="B15" s="248"/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250"/>
      <c r="P15" t="s">
        <v>2</v>
      </c>
    </row>
    <row r="16" spans="2:16" ht="18" x14ac:dyDescent="0.35">
      <c r="B16" s="248"/>
      <c r="C16" s="249"/>
      <c r="D16" s="249"/>
      <c r="E16" s="249"/>
      <c r="F16" s="251"/>
      <c r="G16" s="249"/>
      <c r="H16" s="249"/>
      <c r="I16" s="249"/>
      <c r="J16" s="249"/>
      <c r="K16" s="249"/>
      <c r="L16" s="249"/>
      <c r="M16" s="250"/>
    </row>
    <row r="17" spans="2:13" x14ac:dyDescent="0.3">
      <c r="B17" s="248"/>
      <c r="C17" s="249"/>
      <c r="D17" s="249"/>
      <c r="E17" s="249"/>
      <c r="F17" s="249"/>
      <c r="G17" s="249"/>
      <c r="H17" s="249"/>
      <c r="I17" s="249"/>
      <c r="J17" s="249"/>
      <c r="K17" s="249"/>
      <c r="L17" s="249"/>
      <c r="M17" s="250"/>
    </row>
    <row r="18" spans="2:13" x14ac:dyDescent="0.3">
      <c r="B18" s="248"/>
      <c r="C18" s="249"/>
      <c r="D18" s="249"/>
      <c r="E18" s="249"/>
      <c r="F18" s="249"/>
      <c r="G18" s="249"/>
      <c r="H18" s="249"/>
      <c r="I18" s="249"/>
      <c r="J18" s="249"/>
      <c r="K18" s="249"/>
      <c r="L18" s="249"/>
      <c r="M18" s="250"/>
    </row>
    <row r="19" spans="2:13" x14ac:dyDescent="0.3">
      <c r="B19" s="248"/>
      <c r="C19" s="249"/>
      <c r="D19" s="249"/>
      <c r="E19" s="249"/>
      <c r="F19" s="249"/>
      <c r="G19" s="249"/>
      <c r="H19" s="249"/>
      <c r="I19" s="249"/>
      <c r="J19" s="249"/>
      <c r="K19" s="249"/>
      <c r="L19" s="249"/>
      <c r="M19" s="250"/>
    </row>
    <row r="20" spans="2:13" x14ac:dyDescent="0.3">
      <c r="B20" s="248"/>
      <c r="C20" s="249"/>
      <c r="D20" s="249"/>
      <c r="E20" s="249"/>
      <c r="F20" s="249"/>
      <c r="G20" s="249"/>
      <c r="H20" s="249"/>
      <c r="I20" s="249"/>
      <c r="J20" s="249"/>
      <c r="K20" s="249"/>
      <c r="L20" s="249"/>
      <c r="M20" s="250"/>
    </row>
    <row r="21" spans="2:13" x14ac:dyDescent="0.3">
      <c r="B21" s="248"/>
      <c r="C21" s="249"/>
      <c r="D21" s="249"/>
      <c r="E21" s="249"/>
      <c r="F21" s="249"/>
      <c r="G21" s="249"/>
      <c r="H21" s="249"/>
      <c r="I21" s="249"/>
      <c r="J21" s="249"/>
      <c r="K21" s="249"/>
      <c r="L21" s="249"/>
      <c r="M21" s="250"/>
    </row>
    <row r="22" spans="2:13" x14ac:dyDescent="0.3">
      <c r="B22" s="252" t="s">
        <v>3</v>
      </c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50"/>
    </row>
    <row r="23" spans="2:13" ht="15" thickBot="1" x14ac:dyDescent="0.35">
      <c r="B23" s="253" t="s">
        <v>4</v>
      </c>
      <c r="C23" s="254"/>
      <c r="D23" s="254"/>
      <c r="E23" s="254"/>
      <c r="F23" s="254"/>
      <c r="G23" s="254"/>
      <c r="H23" s="254"/>
      <c r="I23" s="254"/>
      <c r="J23" s="254"/>
      <c r="K23" s="254"/>
      <c r="L23" s="254"/>
      <c r="M23" s="255"/>
    </row>
    <row r="24" spans="2:13" ht="15" thickTop="1" x14ac:dyDescent="0.3"/>
  </sheetData>
  <mergeCells count="2">
    <mergeCell ref="C5:L5"/>
    <mergeCell ref="C12:L12"/>
  </mergeCells>
  <hyperlinks>
    <hyperlink ref="B22" r:id="rId1" xr:uid="{4B1CFF80-E480-4630-8474-492C803F6889}"/>
    <hyperlink ref="B23" r:id="rId2" xr:uid="{C40CAB17-E449-41FD-BF1C-43A6EB4F7BD7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52832-637D-49AD-99FF-9244CF516358}">
  <dimension ref="B2:AO98"/>
  <sheetViews>
    <sheetView showGridLines="0" tabSelected="1" topLeftCell="A29" zoomScale="80" zoomScaleNormal="80" workbookViewId="0">
      <selection activeCell="L49" sqref="L49"/>
    </sheetView>
  </sheetViews>
  <sheetFormatPr defaultColWidth="8.88671875" defaultRowHeight="14.4" x14ac:dyDescent="0.3"/>
  <cols>
    <col min="4" max="4" width="8.44140625" bestFit="1" customWidth="1"/>
    <col min="5" max="5" width="8" bestFit="1" customWidth="1"/>
    <col min="6" max="6" width="7.6640625" customWidth="1"/>
    <col min="30" max="30" width="12.109375" customWidth="1"/>
    <col min="33" max="33" width="13.44140625" bestFit="1" customWidth="1"/>
    <col min="34" max="34" width="12.44140625" bestFit="1" customWidth="1"/>
    <col min="35" max="35" width="22.6640625" bestFit="1" customWidth="1"/>
    <col min="36" max="39" width="10.44140625" bestFit="1" customWidth="1"/>
    <col min="40" max="40" width="10.109375" bestFit="1" customWidth="1"/>
    <col min="41" max="41" width="10.44140625" bestFit="1" customWidth="1"/>
  </cols>
  <sheetData>
    <row r="2" spans="2:20" ht="18" x14ac:dyDescent="0.35">
      <c r="B2" s="244" t="s">
        <v>5</v>
      </c>
      <c r="C2" s="2"/>
      <c r="D2" s="2"/>
      <c r="E2" s="2"/>
      <c r="I2" s="244" t="s">
        <v>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4" spans="2:20" x14ac:dyDescent="0.3">
      <c r="B4" s="3" t="s">
        <v>7</v>
      </c>
    </row>
    <row r="6" spans="2:20" x14ac:dyDescent="0.3">
      <c r="B6" s="4" t="s">
        <v>8</v>
      </c>
      <c r="C6" s="5"/>
      <c r="D6" s="5"/>
      <c r="E6" s="5"/>
      <c r="I6" s="4" t="s">
        <v>9</v>
      </c>
      <c r="J6" s="5"/>
      <c r="K6" s="5"/>
      <c r="L6" s="5"/>
      <c r="M6" s="4" t="s">
        <v>10</v>
      </c>
      <c r="N6" s="4" t="s">
        <v>11</v>
      </c>
      <c r="P6" s="4" t="s">
        <v>12</v>
      </c>
      <c r="Q6" s="5"/>
      <c r="R6" s="5"/>
      <c r="S6" s="5"/>
    </row>
    <row r="7" spans="2:20" x14ac:dyDescent="0.3">
      <c r="B7" t="s">
        <v>13</v>
      </c>
      <c r="E7" s="147">
        <f>'Transaction Details'!C8</f>
        <v>28.379772961816304</v>
      </c>
      <c r="I7" s="6" t="s">
        <v>14</v>
      </c>
      <c r="M7" s="147">
        <f>'Transaction Details'!G8</f>
        <v>0</v>
      </c>
      <c r="N7" s="32">
        <f>'Transaction Details'!F8</f>
        <v>0</v>
      </c>
      <c r="P7" s="6" t="s">
        <v>15</v>
      </c>
      <c r="S7" s="32">
        <f>'Transaction Details'!N8</f>
        <v>52362.03</v>
      </c>
    </row>
    <row r="8" spans="2:20" x14ac:dyDescent="0.3">
      <c r="B8" t="s">
        <v>16</v>
      </c>
      <c r="E8" s="147">
        <f>'Transaction Details'!C9</f>
        <v>23.5</v>
      </c>
      <c r="I8" s="6" t="s">
        <v>17</v>
      </c>
      <c r="M8" s="147">
        <f>'Transaction Details'!G9</f>
        <v>1.0319917440660475</v>
      </c>
      <c r="N8" s="32">
        <f>'Transaction Details'!F9</f>
        <v>2000</v>
      </c>
      <c r="P8" s="6" t="s">
        <v>18</v>
      </c>
      <c r="S8" s="32">
        <f>'Transaction Details'!N9</f>
        <v>1484</v>
      </c>
    </row>
    <row r="9" spans="2:20" x14ac:dyDescent="0.3">
      <c r="B9" t="s">
        <v>19</v>
      </c>
      <c r="E9" s="32">
        <f>'Transaction Details'!C10</f>
        <v>1938</v>
      </c>
      <c r="I9" s="6" t="s">
        <v>20</v>
      </c>
      <c r="M9" s="147">
        <f>'Transaction Details'!G10</f>
        <v>8.7719298245614041</v>
      </c>
      <c r="N9" s="32">
        <f>'Transaction Details'!F10</f>
        <v>17000</v>
      </c>
      <c r="P9" s="6" t="s">
        <v>21</v>
      </c>
      <c r="S9" s="32">
        <f>'Transaction Details'!N10</f>
        <v>1153.9739999999999</v>
      </c>
    </row>
    <row r="10" spans="2:20" x14ac:dyDescent="0.3">
      <c r="E10" s="178"/>
      <c r="I10" s="6" t="s">
        <v>22</v>
      </c>
      <c r="M10" s="147">
        <f>'Transaction Details'!G11</f>
        <v>15.90092879256966</v>
      </c>
      <c r="N10" s="32">
        <f>'Transaction Details'!F11</f>
        <v>30816</v>
      </c>
      <c r="P10" s="38" t="s">
        <v>23</v>
      </c>
      <c r="S10" s="32">
        <f>'Transaction Details'!N11</f>
        <v>55000.004000000001</v>
      </c>
    </row>
    <row r="11" spans="2:20" x14ac:dyDescent="0.3">
      <c r="B11" s="4" t="s">
        <v>24</v>
      </c>
      <c r="C11" s="5"/>
      <c r="D11" s="5"/>
      <c r="E11" s="179"/>
      <c r="I11" s="6" t="s">
        <v>25</v>
      </c>
      <c r="M11" s="147">
        <f>'Transaction Details'!G12</f>
        <v>2.6748405417956658</v>
      </c>
      <c r="N11" s="32">
        <f>'Transaction Details'!F12</f>
        <v>5183.8409700000002</v>
      </c>
    </row>
    <row r="12" spans="2:20" x14ac:dyDescent="0.3">
      <c r="B12" t="s">
        <v>15</v>
      </c>
      <c r="E12" s="32">
        <f>'Transaction Details'!C15</f>
        <v>52362.03</v>
      </c>
      <c r="I12" s="38" t="s">
        <v>26</v>
      </c>
      <c r="M12" s="147">
        <f>'Transaction Details'!G13</f>
        <v>28.379690902992774</v>
      </c>
      <c r="N12" s="32">
        <f>'Transaction Details'!F13</f>
        <v>54999.840969999997</v>
      </c>
    </row>
    <row r="13" spans="2:20" x14ac:dyDescent="0.3">
      <c r="B13" t="s">
        <v>27</v>
      </c>
      <c r="E13" s="116">
        <f>'Transaction Details'!C18</f>
        <v>-652</v>
      </c>
    </row>
    <row r="14" spans="2:20" x14ac:dyDescent="0.3">
      <c r="B14" t="s">
        <v>28</v>
      </c>
      <c r="E14" s="116">
        <f>'Transaction Details'!C16+'Transaction Details'!N10</f>
        <v>3289.9740000000002</v>
      </c>
    </row>
    <row r="15" spans="2:20" x14ac:dyDescent="0.3">
      <c r="B15" t="s">
        <v>29</v>
      </c>
      <c r="E15" s="32">
        <f>'Transaction Details'!C19</f>
        <v>55000</v>
      </c>
      <c r="N15" s="32"/>
    </row>
    <row r="16" spans="2:20" x14ac:dyDescent="0.3">
      <c r="E16" s="178"/>
      <c r="I16" s="38"/>
    </row>
    <row r="17" spans="2:41" x14ac:dyDescent="0.3">
      <c r="B17" t="s">
        <v>30</v>
      </c>
      <c r="E17" s="32">
        <f>'Transaction Details'!C21</f>
        <v>249.34299999999999</v>
      </c>
      <c r="K17" s="180" t="s">
        <v>31</v>
      </c>
      <c r="L17" s="181"/>
      <c r="M17" s="181"/>
      <c r="N17" s="182">
        <f>'Transaction Details'!M15</f>
        <v>0.34545554432354936</v>
      </c>
    </row>
    <row r="18" spans="2:41" x14ac:dyDescent="0.3">
      <c r="B18" t="s">
        <v>32</v>
      </c>
      <c r="E18" s="178">
        <f>'Transaction Details'!C22</f>
        <v>210</v>
      </c>
    </row>
    <row r="19" spans="2:41" x14ac:dyDescent="0.3">
      <c r="B19" t="s">
        <v>33</v>
      </c>
      <c r="E19" s="179">
        <f>'Transaction Details'!C23</f>
        <v>168.32</v>
      </c>
    </row>
    <row r="20" spans="2:41" x14ac:dyDescent="0.3">
      <c r="B20" t="s">
        <v>34</v>
      </c>
      <c r="E20" s="183">
        <f>'Transaction Details'!C24</f>
        <v>0.24762357414448677</v>
      </c>
    </row>
    <row r="22" spans="2:41" ht="18" x14ac:dyDescent="0.35">
      <c r="B22" s="244" t="s">
        <v>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4" spans="2:41" ht="18" x14ac:dyDescent="0.35">
      <c r="B24" s="304" t="s">
        <v>35</v>
      </c>
      <c r="C24" s="304"/>
      <c r="D24" s="304"/>
      <c r="E24" s="304"/>
      <c r="H24" s="304" t="s">
        <v>36</v>
      </c>
      <c r="I24" s="306"/>
      <c r="J24" s="306"/>
      <c r="K24" s="306"/>
      <c r="N24" s="304" t="s">
        <v>37</v>
      </c>
      <c r="O24" s="304"/>
      <c r="P24" s="304"/>
      <c r="Q24" s="304"/>
      <c r="R24" s="304"/>
    </row>
    <row r="27" spans="2:41" ht="18" x14ac:dyDescent="0.35">
      <c r="C27" s="307">
        <f>'Transaction Details'!K15</f>
        <v>0.6545444556764507</v>
      </c>
      <c r="D27" s="307"/>
      <c r="I27" s="308">
        <f ca="1">Model!D298</f>
        <v>0.14677751660346988</v>
      </c>
      <c r="J27" s="308"/>
      <c r="O27" s="309">
        <f ca="1">Model!E298</f>
        <v>2.0335295471983796</v>
      </c>
      <c r="P27" s="309"/>
      <c r="Q27" s="309"/>
    </row>
    <row r="29" spans="2:41" ht="15" thickBot="1" x14ac:dyDescent="0.35">
      <c r="AG29" t="s">
        <v>38</v>
      </c>
      <c r="AH29" s="73">
        <v>26</v>
      </c>
      <c r="AI29" s="73">
        <f t="shared" ref="AI29:AM29" si="0">AH29+1</f>
        <v>27</v>
      </c>
      <c r="AJ29" s="73">
        <f t="shared" si="0"/>
        <v>28</v>
      </c>
      <c r="AK29" s="73">
        <f t="shared" si="0"/>
        <v>29</v>
      </c>
      <c r="AL29" s="73">
        <f t="shared" si="0"/>
        <v>30</v>
      </c>
      <c r="AM29" s="73">
        <f t="shared" si="0"/>
        <v>31</v>
      </c>
      <c r="AN29" s="73">
        <f>AM29+1</f>
        <v>32</v>
      </c>
      <c r="AO29" s="219"/>
    </row>
    <row r="30" spans="2:41" ht="18" x14ac:dyDescent="0.35">
      <c r="B30" s="177" t="s">
        <v>39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AG30" s="280" t="s">
        <v>40</v>
      </c>
      <c r="AH30" s="10">
        <f>(Model!L26)*-1</f>
        <v>2698.4450999999999</v>
      </c>
      <c r="AI30" s="10">
        <f>(Model!M26)*-1</f>
        <v>2902.1170230000002</v>
      </c>
      <c r="AJ30" s="10">
        <f>(Model!N26)*-1</f>
        <v>2927.5894044800002</v>
      </c>
      <c r="AK30" s="10">
        <f>(Model!O26)*-1</f>
        <v>2917.9530072567336</v>
      </c>
      <c r="AL30" s="10">
        <f>(Model!P26)*-1</f>
        <v>2933.7335019473344</v>
      </c>
      <c r="AM30" s="10">
        <f>(Model!Q26)*-1</f>
        <v>2846.6358909108858</v>
      </c>
      <c r="AN30" s="10">
        <f>(Model!R26)*-1</f>
        <v>2834.3659086224766</v>
      </c>
      <c r="AO30" s="219"/>
    </row>
    <row r="31" spans="2:41" x14ac:dyDescent="0.3">
      <c r="AG31" s="280" t="s">
        <v>41</v>
      </c>
      <c r="AH31" s="97">
        <f>'Inputs and Driver'!K27</f>
        <v>0.34499999999999997</v>
      </c>
      <c r="AI31" s="97">
        <f>'Inputs and Driver'!L27</f>
        <v>0.34499999999999997</v>
      </c>
      <c r="AJ31" s="97">
        <f>'Inputs and Driver'!M27</f>
        <v>0.33999999999999997</v>
      </c>
      <c r="AK31" s="97">
        <f>'Inputs and Driver'!N27</f>
        <v>0.32333333333333331</v>
      </c>
      <c r="AL31" s="97">
        <f>'Inputs and Driver'!O27</f>
        <v>0.30666666666666664</v>
      </c>
      <c r="AM31" s="97">
        <f>'Inputs and Driver'!P27</f>
        <v>0.28999999999999998</v>
      </c>
      <c r="AN31" s="97">
        <f>'Inputs and Driver'!Q27</f>
        <v>0.27499999999999997</v>
      </c>
      <c r="AO31" s="219"/>
    </row>
    <row r="33" spans="2:41" ht="15" thickBot="1" x14ac:dyDescent="0.35">
      <c r="B33" s="38" t="s">
        <v>42</v>
      </c>
      <c r="J33" s="184">
        <v>27</v>
      </c>
      <c r="K33" s="184">
        <f t="shared" ref="K33:O33" si="1">J33+1</f>
        <v>28</v>
      </c>
      <c r="L33" s="184">
        <f t="shared" si="1"/>
        <v>29</v>
      </c>
      <c r="M33" s="184">
        <f t="shared" si="1"/>
        <v>30</v>
      </c>
      <c r="N33" s="184">
        <f t="shared" si="1"/>
        <v>31</v>
      </c>
      <c r="O33" s="184">
        <f t="shared" si="1"/>
        <v>32</v>
      </c>
    </row>
    <row r="34" spans="2:41" ht="15" thickBot="1" x14ac:dyDescent="0.35">
      <c r="B34" t="s">
        <v>19</v>
      </c>
      <c r="J34" s="10">
        <f>AJ42</f>
        <v>2046.9037940000005</v>
      </c>
      <c r="K34" s="10">
        <f t="shared" ref="K34:O34" ca="1" si="2">AK42</f>
        <v>2171.2954749692867</v>
      </c>
      <c r="L34" s="10">
        <f t="shared" ca="1" si="2"/>
        <v>2460.7067627786032</v>
      </c>
      <c r="M34" s="10">
        <f t="shared" ca="1" si="2"/>
        <v>2804.5854509795722</v>
      </c>
      <c r="N34" s="10">
        <f t="shared" ca="1" si="2"/>
        <v>3078.9475554800115</v>
      </c>
      <c r="O34" s="10">
        <f t="shared" ca="1" si="2"/>
        <v>3478.5399786679604</v>
      </c>
      <c r="AI34" t="s">
        <v>38</v>
      </c>
      <c r="AJ34" s="73">
        <f>27</f>
        <v>27</v>
      </c>
      <c r="AK34" s="73">
        <f t="shared" ref="AK34" si="3">AJ34+1</f>
        <v>28</v>
      </c>
      <c r="AL34" s="73">
        <f t="shared" ref="AL34" si="4">AK34+1</f>
        <v>29</v>
      </c>
      <c r="AM34" s="73">
        <f t="shared" ref="AM34" si="5">AL34+1</f>
        <v>30</v>
      </c>
      <c r="AN34" s="73">
        <f t="shared" ref="AN34" si="6">AM34+1</f>
        <v>31</v>
      </c>
      <c r="AO34" s="73">
        <f>AN34+1</f>
        <v>32</v>
      </c>
    </row>
    <row r="35" spans="2:41" x14ac:dyDescent="0.3">
      <c r="B35" t="s">
        <v>43</v>
      </c>
      <c r="J35" s="222">
        <f>AJ39</f>
        <v>1633.3170685000005</v>
      </c>
      <c r="K35" s="222">
        <f t="shared" ref="K35:O35" ca="1" si="7">AK39</f>
        <v>1755.1185498226198</v>
      </c>
      <c r="L35" s="222">
        <f t="shared" ca="1" si="7"/>
        <v>2032.0384086197532</v>
      </c>
      <c r="M35" s="222">
        <f t="shared" ca="1" si="7"/>
        <v>2358.1477441614993</v>
      </c>
      <c r="N35" s="222">
        <f t="shared" ca="1" si="7"/>
        <v>2629.0482049050152</v>
      </c>
      <c r="O35" s="222">
        <f t="shared" ca="1" si="7"/>
        <v>3014.7346481661007</v>
      </c>
      <c r="AI35" t="s">
        <v>27</v>
      </c>
      <c r="AJ35" s="10">
        <f ca="1">Model!M289</f>
        <v>15244.39984543368</v>
      </c>
      <c r="AK35" s="10">
        <f ca="1">Model!N289</f>
        <v>13733.847178865451</v>
      </c>
      <c r="AL35" s="10">
        <f ca="1">Model!O289</f>
        <v>16846.259841356212</v>
      </c>
      <c r="AM35" s="10">
        <f ca="1">Model!P289</f>
        <v>14399.765332674784</v>
      </c>
      <c r="AN35" s="10">
        <f ca="1">Model!Q289</f>
        <v>11678.440663277932</v>
      </c>
      <c r="AO35" s="10">
        <f ca="1">Model!R289</f>
        <v>8538.9491917593023</v>
      </c>
    </row>
    <row r="36" spans="2:41" x14ac:dyDescent="0.3">
      <c r="B36" t="s">
        <v>44</v>
      </c>
      <c r="J36" s="54">
        <f ca="1">Model!M35</f>
        <v>-191.21150668221759</v>
      </c>
      <c r="K36" s="54">
        <f ca="1">Model!N35</f>
        <v>-248.87079603616212</v>
      </c>
      <c r="L36" s="54">
        <f ca="1">Model!O35</f>
        <v>-368.59680601204724</v>
      </c>
      <c r="M36" s="54">
        <f ca="1">Model!P35</f>
        <v>-408.92807256114759</v>
      </c>
      <c r="N36" s="54">
        <f ca="1">Model!Q35</f>
        <v>-563.33766252815064</v>
      </c>
      <c r="O36" s="54">
        <f ca="1">Model!R35</f>
        <v>-727.89220858792191</v>
      </c>
    </row>
    <row r="37" spans="2:41" x14ac:dyDescent="0.3">
      <c r="B37" t="s">
        <v>45</v>
      </c>
      <c r="J37" s="54">
        <f>Model!M55</f>
        <v>-245.34805750000007</v>
      </c>
      <c r="K37" s="54">
        <f>Model!N55</f>
        <v>-243.96578370666671</v>
      </c>
      <c r="L37" s="54">
        <f>Model!O55</f>
        <v>-248.17641556565007</v>
      </c>
      <c r="M37" s="54">
        <f>Model!P55</f>
        <v>-255.10726103889871</v>
      </c>
      <c r="N37" s="54">
        <f>Model!Q55</f>
        <v>-253.57963396045255</v>
      </c>
      <c r="O37" s="54">
        <f>Model!R55</f>
        <v>-257.66962805658881</v>
      </c>
      <c r="AJ37" s="10"/>
    </row>
    <row r="38" spans="2:41" ht="15" thickBot="1" x14ac:dyDescent="0.35">
      <c r="B38" t="s">
        <v>46</v>
      </c>
      <c r="J38" s="97">
        <f>'Inputs and Driver'!L43</f>
        <v>2.9166666666666667E-2</v>
      </c>
      <c r="K38" s="97">
        <f>'Inputs and Driver'!M43</f>
        <v>2.8333333333333335E-2</v>
      </c>
      <c r="L38" s="97">
        <f>'Inputs and Driver'!N43</f>
        <v>2.7500000000000004E-2</v>
      </c>
      <c r="M38" s="97">
        <f>'Inputs and Driver'!O43</f>
        <v>2.6666666666666672E-2</v>
      </c>
      <c r="N38" s="97">
        <f>'Inputs and Driver'!P43</f>
        <v>2.583333333333334E-2</v>
      </c>
      <c r="O38" s="97">
        <f>'Inputs and Driver'!Q43</f>
        <v>2.5000000000000001E-2</v>
      </c>
      <c r="AI38" t="s">
        <v>38</v>
      </c>
      <c r="AJ38" s="73">
        <f>27</f>
        <v>27</v>
      </c>
      <c r="AK38" s="73">
        <f t="shared" ref="AK38" si="8">AJ38+1</f>
        <v>28</v>
      </c>
      <c r="AL38" s="73">
        <f t="shared" ref="AL38" si="9">AK38+1</f>
        <v>29</v>
      </c>
      <c r="AM38" s="73">
        <f t="shared" ref="AM38" si="10">AL38+1</f>
        <v>30</v>
      </c>
      <c r="AN38" s="73">
        <f t="shared" ref="AN38" si="11">AM38+1</f>
        <v>31</v>
      </c>
      <c r="AO38" s="73">
        <f>AN38+1</f>
        <v>32</v>
      </c>
    </row>
    <row r="39" spans="2:41" x14ac:dyDescent="0.3">
      <c r="J39" s="223"/>
      <c r="K39" s="223"/>
      <c r="L39" s="223"/>
      <c r="M39" s="223"/>
      <c r="N39" s="223"/>
      <c r="O39" s="223"/>
      <c r="AI39" t="s">
        <v>43</v>
      </c>
      <c r="AJ39" s="220">
        <f>Model!M29</f>
        <v>1633.3170685000005</v>
      </c>
      <c r="AK39" s="220">
        <f ca="1">Model!N29</f>
        <v>1755.1185498226198</v>
      </c>
      <c r="AL39" s="220">
        <f ca="1">Model!O29</f>
        <v>2032.0384086197532</v>
      </c>
      <c r="AM39" s="220">
        <f ca="1">Model!P29</f>
        <v>2358.1477441614993</v>
      </c>
      <c r="AN39" s="220">
        <f ca="1">Model!Q29</f>
        <v>2629.0482049050152</v>
      </c>
      <c r="AO39" s="220">
        <f ca="1">Model!R29</f>
        <v>3014.7346481661007</v>
      </c>
    </row>
    <row r="40" spans="2:41" x14ac:dyDescent="0.3">
      <c r="J40" s="223"/>
      <c r="K40" s="223"/>
      <c r="L40" s="223"/>
      <c r="M40" s="223"/>
      <c r="N40" s="223"/>
      <c r="O40" s="223"/>
      <c r="AI40" t="s">
        <v>47</v>
      </c>
      <c r="AJ40" s="220">
        <f ca="1">(Model!M32)*-1</f>
        <v>996.13954622594179</v>
      </c>
      <c r="AK40" s="220">
        <f ca="1">(Model!N32)*-1</f>
        <v>925.75306303541038</v>
      </c>
      <c r="AL40" s="220">
        <f ca="1">(Model!O32)*-1</f>
        <v>803.60755524625779</v>
      </c>
      <c r="AM40" s="220">
        <f ca="1">(Model!P32)*-1</f>
        <v>995.30066895766686</v>
      </c>
      <c r="AN40" s="220">
        <f ca="1">(Model!Q32)*-1</f>
        <v>751.52382981117057</v>
      </c>
      <c r="AO40" s="220">
        <f ca="1">(Model!R32)*-1</f>
        <v>588.71978620635116</v>
      </c>
    </row>
    <row r="41" spans="2:41" x14ac:dyDescent="0.3">
      <c r="B41" t="s">
        <v>48</v>
      </c>
      <c r="J41" s="222">
        <f ca="1">AJ40</f>
        <v>996.13954622594179</v>
      </c>
      <c r="K41" s="222">
        <f t="shared" ref="K41:O41" ca="1" si="12">AK40</f>
        <v>925.75306303541038</v>
      </c>
      <c r="L41" s="222">
        <f t="shared" ca="1" si="12"/>
        <v>803.60755524625779</v>
      </c>
      <c r="M41" s="222">
        <f t="shared" ca="1" si="12"/>
        <v>995.30066895766686</v>
      </c>
      <c r="N41" s="222">
        <f t="shared" ca="1" si="12"/>
        <v>751.52382981117057</v>
      </c>
      <c r="O41" s="222">
        <f t="shared" ca="1" si="12"/>
        <v>588.71978620635116</v>
      </c>
      <c r="AI41" s="38" t="s">
        <v>49</v>
      </c>
      <c r="AJ41" s="221">
        <f ca="1">AJ39/AJ40</f>
        <v>1.6396468493677649</v>
      </c>
      <c r="AK41" s="221">
        <f t="shared" ref="AK41:AO41" ca="1" si="13">AK39/AK40</f>
        <v>1.8958819796586359</v>
      </c>
      <c r="AL41" s="221">
        <f t="shared" ca="1" si="13"/>
        <v>2.5286452265833348</v>
      </c>
      <c r="AM41" s="221">
        <f t="shared" ca="1" si="13"/>
        <v>2.3692817835951825</v>
      </c>
      <c r="AN41" s="221">
        <f t="shared" ca="1" si="13"/>
        <v>3.4982898753398084</v>
      </c>
      <c r="AO41" s="221">
        <f t="shared" ca="1" si="13"/>
        <v>5.1208311981371244</v>
      </c>
    </row>
    <row r="42" spans="2:41" x14ac:dyDescent="0.3">
      <c r="J42" s="10"/>
      <c r="K42" s="10"/>
      <c r="L42" s="10"/>
      <c r="M42" s="10"/>
      <c r="N42" s="10"/>
      <c r="O42" s="10"/>
      <c r="AI42" t="s">
        <v>19</v>
      </c>
      <c r="AJ42" s="83">
        <f>Model!M38</f>
        <v>2046.9037940000005</v>
      </c>
      <c r="AK42" s="83">
        <f ca="1">Model!N38</f>
        <v>2171.2954749692867</v>
      </c>
      <c r="AL42" s="83">
        <f ca="1">Model!O38</f>
        <v>2460.7067627786032</v>
      </c>
      <c r="AM42" s="83">
        <f ca="1">Model!P38</f>
        <v>2804.5854509795722</v>
      </c>
      <c r="AN42" s="83">
        <f ca="1">Model!Q38</f>
        <v>3078.9475554800115</v>
      </c>
      <c r="AO42" s="83">
        <f ca="1">Model!R38</f>
        <v>3478.5399786679604</v>
      </c>
    </row>
    <row r="43" spans="2:41" x14ac:dyDescent="0.3">
      <c r="B43" t="s">
        <v>408</v>
      </c>
      <c r="J43" s="10"/>
      <c r="K43" s="54">
        <f ca="1">Model!N186+Model!N204+Model!N221*-1</f>
        <v>-1825.7887578334758</v>
      </c>
      <c r="L43" s="54">
        <f ca="1">Model!O186+Model!O204+Model!O221*-1</f>
        <v>-1543.8487950434776</v>
      </c>
      <c r="M43" s="54">
        <f ca="1">Model!P186+Model!P204+Model!P221*-1</f>
        <v>-1688.5528526316241</v>
      </c>
      <c r="N43" s="54">
        <f ca="1">Model!Q186+Model!Q204+Model!Q221*-1</f>
        <v>-1424.9258121996879</v>
      </c>
      <c r="O43" s="54">
        <f ca="1">Model!R186+Model!R204+Model!R221*-1</f>
        <v>-1134.9808650121454</v>
      </c>
      <c r="AJ43" s="83"/>
      <c r="AK43" s="83"/>
      <c r="AL43" s="83"/>
      <c r="AM43" s="83"/>
      <c r="AN43" s="83"/>
      <c r="AO43" s="83"/>
    </row>
    <row r="44" spans="2:41" x14ac:dyDescent="0.3">
      <c r="B44" t="s">
        <v>50</v>
      </c>
      <c r="J44" s="54">
        <f ca="1">Model!M241</f>
        <v>15692.777777777777</v>
      </c>
      <c r="K44" s="54">
        <f ca="1">Model!N241</f>
        <v>-2367.6720973240599</v>
      </c>
      <c r="L44" s="54">
        <f ca="1">Model!O241</f>
        <v>-1937.1235367654456</v>
      </c>
      <c r="M44" s="54">
        <f ca="1">Model!P241</f>
        <v>-1980.3277800994676</v>
      </c>
      <c r="N44" s="54">
        <f ca="1">Model!Q241</f>
        <v>-2217.0436869645218</v>
      </c>
      <c r="O44" s="54">
        <f ca="1">Model!R241</f>
        <v>-2602.252663583216</v>
      </c>
      <c r="AI44" s="38" t="s">
        <v>51</v>
      </c>
      <c r="AJ44" s="221">
        <f ca="1">AJ35/AJ42</f>
        <v>7.4475409592375188</v>
      </c>
      <c r="AK44" s="221">
        <f t="shared" ref="AK44:AO44" ca="1" si="14">AK35/AK42</f>
        <v>6.325185741502878</v>
      </c>
      <c r="AL44" s="221">
        <f t="shared" ca="1" si="14"/>
        <v>6.8461062066304885</v>
      </c>
      <c r="AM44" s="221">
        <f t="shared" ca="1" si="14"/>
        <v>5.1343649834756517</v>
      </c>
      <c r="AN44" s="221">
        <f t="shared" ca="1" si="14"/>
        <v>3.7929975918207055</v>
      </c>
      <c r="AO44" s="221">
        <f t="shared" ca="1" si="14"/>
        <v>2.4547509139248493</v>
      </c>
    </row>
    <row r="45" spans="2:41" x14ac:dyDescent="0.3">
      <c r="B45" t="s">
        <v>52</v>
      </c>
      <c r="J45" s="10">
        <f ca="1">Model!M249</f>
        <v>17032.447056019704</v>
      </c>
      <c r="K45" s="10">
        <f ca="1">Model!N249</f>
        <v>14664.474958695646</v>
      </c>
      <c r="L45" s="10">
        <f ca="1">Model!O249</f>
        <v>17727.351421930201</v>
      </c>
      <c r="M45" s="10">
        <f ca="1">Model!P249</f>
        <v>15372.023641830732</v>
      </c>
      <c r="N45" s="10">
        <f ca="1">Model!Q249</f>
        <v>12808.10495486621</v>
      </c>
      <c r="O45" s="10">
        <f ca="1">Model!R249</f>
        <v>9884.992916282994</v>
      </c>
    </row>
    <row r="46" spans="2:41" x14ac:dyDescent="0.3">
      <c r="B46" t="s">
        <v>53</v>
      </c>
      <c r="J46" s="10">
        <f ca="1">Model!M77</f>
        <v>1788.0472105860247</v>
      </c>
      <c r="K46" s="10">
        <f ca="1">Model!N77</f>
        <v>930.62777983019464</v>
      </c>
      <c r="L46" s="10">
        <f ca="1">Model!O77</f>
        <v>881.09158057398918</v>
      </c>
      <c r="M46" s="10">
        <f ca="1">Model!P77</f>
        <v>972.25830915594793</v>
      </c>
      <c r="N46" s="10">
        <f ca="1">Model!Q77</f>
        <v>1129.6642915882787</v>
      </c>
      <c r="O46" s="10">
        <f ca="1">Model!R77</f>
        <v>1346.043724523691</v>
      </c>
    </row>
    <row r="47" spans="2:41" ht="15" thickBot="1" x14ac:dyDescent="0.35">
      <c r="AI47" t="s">
        <v>38</v>
      </c>
      <c r="AJ47" s="73">
        <f>27</f>
        <v>27</v>
      </c>
      <c r="AK47" s="73">
        <f t="shared" ref="AK47" si="15">AJ47+1</f>
        <v>28</v>
      </c>
      <c r="AL47" s="73">
        <f t="shared" ref="AL47" si="16">AK47+1</f>
        <v>29</v>
      </c>
      <c r="AM47" s="73">
        <f t="shared" ref="AM47" si="17">AL47+1</f>
        <v>30</v>
      </c>
      <c r="AN47" s="73">
        <f t="shared" ref="AN47" si="18">AM47+1</f>
        <v>31</v>
      </c>
      <c r="AO47" s="73">
        <f>AN47+1</f>
        <v>32</v>
      </c>
    </row>
    <row r="48" spans="2:41" x14ac:dyDescent="0.3">
      <c r="B48" s="38" t="s">
        <v>54</v>
      </c>
      <c r="J48" s="258">
        <f ca="1">J45/J35</f>
        <v>10.428132653791403</v>
      </c>
      <c r="K48" s="258">
        <f t="shared" ref="K48:O48" ca="1" si="19">K45/K35</f>
        <v>8.3552617913916443</v>
      </c>
      <c r="L48" s="258">
        <f t="shared" ca="1" si="19"/>
        <v>8.7239253681092439</v>
      </c>
      <c r="M48" s="258">
        <f t="shared" ca="1" si="19"/>
        <v>6.5186855572938898</v>
      </c>
      <c r="N48" s="258">
        <f t="shared" ca="1" si="19"/>
        <v>4.8717649721941685</v>
      </c>
      <c r="O48" s="258">
        <f t="shared" ca="1" si="19"/>
        <v>3.2788931929037779</v>
      </c>
      <c r="AI48" t="s">
        <v>19</v>
      </c>
      <c r="AJ48" s="83">
        <f>AJ42</f>
        <v>2046.9037940000005</v>
      </c>
      <c r="AK48" s="83">
        <f t="shared" ref="AK48:AO48" ca="1" si="20">AK42</f>
        <v>2171.2954749692867</v>
      </c>
      <c r="AL48" s="83">
        <f t="shared" ca="1" si="20"/>
        <v>2460.7067627786032</v>
      </c>
      <c r="AM48" s="83">
        <f t="shared" ca="1" si="20"/>
        <v>2804.5854509795722</v>
      </c>
      <c r="AN48" s="83">
        <f t="shared" ca="1" si="20"/>
        <v>3078.9475554800115</v>
      </c>
      <c r="AO48" s="83">
        <f t="shared" ca="1" si="20"/>
        <v>3478.5399786679604</v>
      </c>
    </row>
    <row r="49" spans="2:41" x14ac:dyDescent="0.3">
      <c r="B49" s="38" t="s">
        <v>55</v>
      </c>
      <c r="J49" s="259" t="s">
        <v>56</v>
      </c>
      <c r="K49" s="258">
        <f ca="1">(K35+K37)/(K41+K43*-1)</f>
        <v>0.54920217990317832</v>
      </c>
      <c r="L49" s="258">
        <f t="shared" ref="L49:O49" ca="1" si="21">(L35+L37)/(L41+L43*-1)</f>
        <v>0.75991274250272189</v>
      </c>
      <c r="M49" s="258">
        <f t="shared" ca="1" si="21"/>
        <v>0.78358988901795523</v>
      </c>
      <c r="N49" s="258">
        <f t="shared" ca="1" si="21"/>
        <v>1.091442009542581</v>
      </c>
      <c r="O49" s="258">
        <f t="shared" ca="1" si="21"/>
        <v>1.5995033813791986</v>
      </c>
      <c r="AI49" t="s">
        <v>57</v>
      </c>
      <c r="AJ49" s="97">
        <f>Model!M39</f>
        <v>0.24333333333333335</v>
      </c>
      <c r="AK49" s="97">
        <f ca="1">Model!N39</f>
        <v>0.25216666666433846</v>
      </c>
      <c r="AL49" s="97">
        <f ca="1">Model!O39</f>
        <v>0.27266666666201006</v>
      </c>
      <c r="AM49" s="97">
        <f ca="1">Model!P39</f>
        <v>0.29316666665968188</v>
      </c>
      <c r="AN49" s="97">
        <f ca="1">Model!Q39</f>
        <v>0.31366666665735349</v>
      </c>
      <c r="AO49" s="97">
        <f ca="1">Model!R39</f>
        <v>0.33749999999068686</v>
      </c>
    </row>
    <row r="50" spans="2:41" x14ac:dyDescent="0.3">
      <c r="B50" s="38" t="s">
        <v>49</v>
      </c>
      <c r="J50" s="258">
        <f ca="1">J34/J41</f>
        <v>2.0548363949158257</v>
      </c>
      <c r="K50" s="258">
        <f t="shared" ref="K50:O50" ca="1" si="22">K34/K41</f>
        <v>2.345436987105312</v>
      </c>
      <c r="L50" s="258">
        <f t="shared" ca="1" si="22"/>
        <v>3.0620751966730122</v>
      </c>
      <c r="M50" s="258">
        <f t="shared" ca="1" si="22"/>
        <v>2.8178273545386912</v>
      </c>
      <c r="N50" s="258">
        <f t="shared" ca="1" si="22"/>
        <v>4.0969393562059562</v>
      </c>
      <c r="O50" s="258">
        <f t="shared" ca="1" si="22"/>
        <v>5.9086513824909961</v>
      </c>
    </row>
    <row r="53" spans="2:41" ht="18" x14ac:dyDescent="0.35">
      <c r="B53" s="187"/>
      <c r="C53" s="187"/>
      <c r="D53" s="186" t="s">
        <v>58</v>
      </c>
      <c r="E53" s="187"/>
      <c r="F53" s="187"/>
      <c r="G53" s="187"/>
      <c r="J53" s="5"/>
      <c r="K53" s="5"/>
      <c r="L53" s="304" t="s">
        <v>39</v>
      </c>
      <c r="M53" s="304"/>
      <c r="N53" s="5"/>
      <c r="O53" s="5"/>
      <c r="Q53" s="186"/>
      <c r="R53" s="188"/>
      <c r="S53" s="188" t="s">
        <v>59</v>
      </c>
      <c r="T53" s="188"/>
      <c r="U53" s="188"/>
      <c r="V53" s="188"/>
      <c r="W53" s="186"/>
      <c r="Z53" s="5"/>
      <c r="AA53" s="304" t="s">
        <v>60</v>
      </c>
      <c r="AB53" s="304"/>
      <c r="AC53" s="304"/>
      <c r="AD53" s="304"/>
      <c r="AE53" s="5"/>
    </row>
    <row r="54" spans="2:41" x14ac:dyDescent="0.3">
      <c r="AI54" s="38" t="s">
        <v>61</v>
      </c>
      <c r="AJ54" t="s">
        <v>62</v>
      </c>
      <c r="AK54" t="s">
        <v>63</v>
      </c>
      <c r="AL54" s="38" t="s">
        <v>64</v>
      </c>
      <c r="AN54" t="s">
        <v>62</v>
      </c>
      <c r="AO54" t="s">
        <v>63</v>
      </c>
    </row>
    <row r="55" spans="2:41" x14ac:dyDescent="0.3">
      <c r="AI55" t="s">
        <v>65</v>
      </c>
      <c r="AJ55">
        <v>4385</v>
      </c>
      <c r="AK55" s="12">
        <f>AJ55/AJ57</f>
        <v>0.58756532225646518</v>
      </c>
      <c r="AL55" t="s">
        <v>66</v>
      </c>
      <c r="AN55" s="10">
        <f>Model!K14</f>
        <v>5461</v>
      </c>
      <c r="AO55" s="12">
        <f>AN55/AN57</f>
        <v>0.73174326678279511</v>
      </c>
    </row>
    <row r="56" spans="2:41" x14ac:dyDescent="0.3">
      <c r="AI56" t="s">
        <v>67</v>
      </c>
      <c r="AJ56">
        <v>3078</v>
      </c>
      <c r="AK56" s="12">
        <f>AJ56/AJ57</f>
        <v>0.41243467774353476</v>
      </c>
      <c r="AL56" t="s">
        <v>68</v>
      </c>
      <c r="AN56" s="10">
        <f>Model!K11</f>
        <v>2002</v>
      </c>
      <c r="AO56" s="12">
        <f>AN56/AN57</f>
        <v>0.26825673321720489</v>
      </c>
    </row>
    <row r="57" spans="2:41" x14ac:dyDescent="0.3">
      <c r="AI57" t="s">
        <v>69</v>
      </c>
      <c r="AJ57">
        <f>SUM(AJ55:AJ56)</f>
        <v>7463</v>
      </c>
      <c r="AK57" s="225">
        <f>SUM(AK55:AK56)</f>
        <v>1</v>
      </c>
      <c r="AL57" t="s">
        <v>69</v>
      </c>
      <c r="AN57" s="10">
        <f>SUM(AN55:AN56)</f>
        <v>7463</v>
      </c>
      <c r="AO57" s="225">
        <f>SUM(AO55:AO56)</f>
        <v>1</v>
      </c>
    </row>
    <row r="60" spans="2:41" ht="15" thickBot="1" x14ac:dyDescent="0.35">
      <c r="AI60" t="s">
        <v>38</v>
      </c>
      <c r="AJ60" s="73">
        <f>27</f>
        <v>27</v>
      </c>
      <c r="AK60" s="73">
        <f t="shared" ref="AK60" si="23">AJ60+1</f>
        <v>28</v>
      </c>
      <c r="AL60" s="73">
        <f t="shared" ref="AL60" si="24">AK60+1</f>
        <v>29</v>
      </c>
      <c r="AM60" s="73">
        <f t="shared" ref="AM60" si="25">AL60+1</f>
        <v>30</v>
      </c>
      <c r="AN60" s="73">
        <f t="shared" ref="AN60" si="26">AM60+1</f>
        <v>31</v>
      </c>
      <c r="AO60" s="73">
        <f>AN60+1</f>
        <v>32</v>
      </c>
    </row>
    <row r="61" spans="2:41" x14ac:dyDescent="0.3">
      <c r="AI61" t="s">
        <v>57</v>
      </c>
      <c r="AJ61" s="97">
        <f>Model!M39</f>
        <v>0.24333333333333335</v>
      </c>
      <c r="AK61" s="97">
        <f ca="1">Model!N39</f>
        <v>0.25216666666433846</v>
      </c>
      <c r="AL61" s="97">
        <f ca="1">Model!O39</f>
        <v>0.27266666666201006</v>
      </c>
      <c r="AM61" s="97">
        <f ca="1">Model!P39</f>
        <v>0.29316666665968188</v>
      </c>
      <c r="AN61" s="97">
        <f ca="1">Model!Q39</f>
        <v>0.31366666665735349</v>
      </c>
      <c r="AO61" s="97">
        <f ca="1">Model!R39</f>
        <v>0.33749999999068686</v>
      </c>
    </row>
    <row r="62" spans="2:41" x14ac:dyDescent="0.3">
      <c r="AI62" t="s">
        <v>41</v>
      </c>
      <c r="AJ62" s="97">
        <f>'Inputs and Driver'!K27</f>
        <v>0.34499999999999997</v>
      </c>
      <c r="AK62" s="97">
        <f>'Inputs and Driver'!L27</f>
        <v>0.34499999999999997</v>
      </c>
      <c r="AL62" s="97">
        <f>'Inputs and Driver'!M27</f>
        <v>0.33999999999999997</v>
      </c>
      <c r="AM62" s="97">
        <f>'Inputs and Driver'!N27</f>
        <v>0.32333333333333331</v>
      </c>
      <c r="AN62" s="97">
        <f>'Inputs and Driver'!O27</f>
        <v>0.30666666666666664</v>
      </c>
      <c r="AO62" s="97">
        <f>'Inputs and Driver'!P27</f>
        <v>0.28999999999999998</v>
      </c>
    </row>
    <row r="65" spans="2:41" ht="15" thickBot="1" x14ac:dyDescent="0.35">
      <c r="AI65" t="s">
        <v>38</v>
      </c>
      <c r="AJ65" s="73">
        <f>27</f>
        <v>27</v>
      </c>
      <c r="AK65" s="73">
        <f t="shared" ref="AK65" si="27">AJ65+1</f>
        <v>28</v>
      </c>
      <c r="AL65" s="73">
        <f t="shared" ref="AL65" si="28">AK65+1</f>
        <v>29</v>
      </c>
      <c r="AM65" s="73">
        <f t="shared" ref="AM65" si="29">AL65+1</f>
        <v>30</v>
      </c>
      <c r="AN65" s="73">
        <f t="shared" ref="AN65" si="30">AM65+1</f>
        <v>31</v>
      </c>
      <c r="AO65" s="73">
        <f>AN65+1</f>
        <v>32</v>
      </c>
    </row>
    <row r="66" spans="2:41" x14ac:dyDescent="0.3">
      <c r="AI66" t="s">
        <v>70</v>
      </c>
      <c r="AJ66" s="97">
        <f>'Inputs and Driver'!L15</f>
        <v>7.0000000000000007E-2</v>
      </c>
      <c r="AK66" s="97">
        <f>'Inputs and Driver'!M15</f>
        <v>2.5000000000000001E-2</v>
      </c>
      <c r="AL66" s="97">
        <f>'Inputs and Driver'!N15</f>
        <v>5.5E-2</v>
      </c>
      <c r="AM66" s="97">
        <f>'Inputs and Driver'!O15</f>
        <v>7.4999999999999997E-2</v>
      </c>
      <c r="AN66" s="97">
        <f>'Inputs and Driver'!P15</f>
        <v>0.03</v>
      </c>
      <c r="AO66" s="97">
        <f>'Inputs and Driver'!Q15</f>
        <v>0.05</v>
      </c>
    </row>
    <row r="68" spans="2:41" x14ac:dyDescent="0.3">
      <c r="AI68" s="38" t="s">
        <v>71</v>
      </c>
      <c r="AJ68" t="s">
        <v>72</v>
      </c>
    </row>
    <row r="69" spans="2:41" x14ac:dyDescent="0.3">
      <c r="AI69" t="s">
        <v>73</v>
      </c>
      <c r="AJ69">
        <v>1140</v>
      </c>
    </row>
    <row r="70" spans="2:41" ht="18" x14ac:dyDescent="0.35">
      <c r="B70" s="187"/>
      <c r="C70" s="187"/>
      <c r="D70" s="186" t="s">
        <v>61</v>
      </c>
      <c r="E70" s="187"/>
      <c r="F70" s="187"/>
      <c r="G70" s="187"/>
      <c r="J70" s="187"/>
      <c r="K70" s="187"/>
      <c r="L70" s="186" t="s">
        <v>64</v>
      </c>
      <c r="M70" s="187"/>
      <c r="N70" s="187"/>
      <c r="O70" s="187"/>
      <c r="Q70" s="186"/>
      <c r="R70" s="188"/>
      <c r="S70" s="188" t="s">
        <v>74</v>
      </c>
      <c r="T70" s="188"/>
      <c r="U70" s="188"/>
      <c r="V70" s="188"/>
      <c r="W70" s="186"/>
      <c r="Z70" s="5"/>
      <c r="AA70" s="304" t="s">
        <v>75</v>
      </c>
      <c r="AB70" s="304"/>
      <c r="AC70" s="304"/>
      <c r="AD70" s="304"/>
      <c r="AE70" s="5"/>
      <c r="AI70" t="s">
        <v>76</v>
      </c>
      <c r="AJ70">
        <v>1547</v>
      </c>
    </row>
    <row r="71" spans="2:41" x14ac:dyDescent="0.3">
      <c r="AI71" t="s">
        <v>77</v>
      </c>
      <c r="AJ71">
        <v>4776</v>
      </c>
    </row>
    <row r="88" spans="2:41" ht="18.600000000000001" thickBot="1" x14ac:dyDescent="0.4">
      <c r="B88" s="177" t="s">
        <v>78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AI88" t="s">
        <v>38</v>
      </c>
      <c r="AJ88" s="73">
        <f>27</f>
        <v>27</v>
      </c>
      <c r="AK88" s="73">
        <v>28</v>
      </c>
      <c r="AL88" s="73">
        <v>29</v>
      </c>
      <c r="AM88" s="73">
        <v>30</v>
      </c>
      <c r="AN88" s="73">
        <v>31</v>
      </c>
      <c r="AO88" s="73">
        <v>32</v>
      </c>
    </row>
    <row r="89" spans="2:41" x14ac:dyDescent="0.3">
      <c r="AI89" t="s">
        <v>79</v>
      </c>
      <c r="AJ89" s="97">
        <f>'Inputs and Driver'!L65</f>
        <v>0.04</v>
      </c>
      <c r="AK89" s="97">
        <f>'Inputs and Driver'!M65</f>
        <v>3.5000000000000003E-2</v>
      </c>
      <c r="AL89" s="97">
        <f>'Inputs and Driver'!N65</f>
        <v>3.5000000000000003E-2</v>
      </c>
      <c r="AM89" s="97">
        <f>'Inputs and Driver'!O65</f>
        <v>3.5000000000000003E-2</v>
      </c>
      <c r="AN89" s="97">
        <f>'Inputs and Driver'!P65</f>
        <v>2.75E-2</v>
      </c>
      <c r="AO89" s="97">
        <f>'Inputs and Driver'!Q65</f>
        <v>2.5000000000000001E-2</v>
      </c>
    </row>
    <row r="90" spans="2:41" x14ac:dyDescent="0.3">
      <c r="AI90" t="s">
        <v>80</v>
      </c>
      <c r="AJ90" s="97">
        <f>'Inputs and Driver'!L74</f>
        <v>6.7500000000000004E-2</v>
      </c>
      <c r="AK90" s="97">
        <f>'Inputs and Driver'!M74</f>
        <v>6.25E-2</v>
      </c>
      <c r="AL90" s="97">
        <f>'Inputs and Driver'!N74</f>
        <v>6.25E-2</v>
      </c>
      <c r="AM90" s="97">
        <f>'Inputs and Driver'!O74</f>
        <v>6.25E-2</v>
      </c>
      <c r="AN90" s="97">
        <f>'Inputs and Driver'!P74</f>
        <v>5.5E-2</v>
      </c>
      <c r="AO90" s="97">
        <f>'Inputs and Driver'!Q74</f>
        <v>5.2500000000000005E-2</v>
      </c>
    </row>
    <row r="91" spans="2:41" ht="18" x14ac:dyDescent="0.35">
      <c r="B91" s="238">
        <v>0.5</v>
      </c>
      <c r="C91" s="305" t="s">
        <v>81</v>
      </c>
      <c r="D91" s="305"/>
      <c r="E91" s="305"/>
      <c r="F91" s="305"/>
      <c r="G91" s="305"/>
      <c r="J91" s="304" t="s">
        <v>82</v>
      </c>
      <c r="K91" s="304"/>
      <c r="L91" s="304"/>
      <c r="M91" s="304"/>
      <c r="N91" s="304"/>
      <c r="V91" s="4" t="s">
        <v>83</v>
      </c>
      <c r="W91" s="5"/>
      <c r="X91" s="239" t="s">
        <v>84</v>
      </c>
      <c r="Y91" s="239" t="s">
        <v>85</v>
      </c>
      <c r="AI91" t="s">
        <v>86</v>
      </c>
      <c r="AJ91" s="97">
        <f>'Inputs and Driver'!L71</f>
        <v>6.25E-2</v>
      </c>
      <c r="AK91" s="97">
        <f>'Inputs and Driver'!M71</f>
        <v>5.7500000000000002E-2</v>
      </c>
      <c r="AL91" s="97">
        <f>'Inputs and Driver'!N71</f>
        <v>5.7500000000000002E-2</v>
      </c>
      <c r="AM91" s="97">
        <f>'Inputs and Driver'!O71</f>
        <v>5.7500000000000002E-2</v>
      </c>
      <c r="AN91" s="97">
        <f>'Inputs and Driver'!P71</f>
        <v>0.05</v>
      </c>
      <c r="AO91" s="97">
        <f>'Inputs and Driver'!Q71</f>
        <v>4.7500000000000001E-2</v>
      </c>
    </row>
    <row r="92" spans="2:41" x14ac:dyDescent="0.3">
      <c r="D92" s="185" t="s">
        <v>87</v>
      </c>
      <c r="E92" s="185" t="s">
        <v>84</v>
      </c>
      <c r="F92" s="185" t="s">
        <v>85</v>
      </c>
      <c r="V92" s="6" t="s">
        <v>88</v>
      </c>
      <c r="X92" s="240">
        <f ca="1">Model!D302</f>
        <v>1.8906524777412417E-2</v>
      </c>
      <c r="Y92" s="241">
        <f ca="1">Model!E302</f>
        <v>1.0358822560907772</v>
      </c>
      <c r="AI92" t="s">
        <v>89</v>
      </c>
      <c r="AJ92" s="97">
        <f>'Inputs and Driver'!L77</f>
        <v>0</v>
      </c>
      <c r="AK92" s="97">
        <f>'Inputs and Driver'!M77</f>
        <v>0</v>
      </c>
      <c r="AL92" s="97">
        <f>'Inputs and Driver'!N77</f>
        <v>6.25E-2</v>
      </c>
      <c r="AM92" s="97">
        <f>'Inputs and Driver'!O77</f>
        <v>6.25E-2</v>
      </c>
      <c r="AN92" s="97">
        <f>'Inputs and Driver'!P77</f>
        <v>5.5E-2</v>
      </c>
      <c r="AO92" s="97">
        <f>'Inputs and Driver'!Q77</f>
        <v>5.2500000000000005E-2</v>
      </c>
    </row>
    <row r="93" spans="2:41" ht="15" thickBot="1" x14ac:dyDescent="0.35">
      <c r="E93" s="242">
        <f ca="1">I27</f>
        <v>0.14677751660346988</v>
      </c>
      <c r="F93" s="243">
        <f ca="1">O27</f>
        <v>2.0335295471983796</v>
      </c>
      <c r="V93" s="6" t="s">
        <v>90</v>
      </c>
      <c r="X93" s="240">
        <f ca="1">Model!D301</f>
        <v>4.5984134078025818E-2</v>
      </c>
      <c r="Y93" s="241">
        <f ca="1">Model!E301</f>
        <v>1.1383480587620209</v>
      </c>
    </row>
    <row r="94" spans="2:41" x14ac:dyDescent="0.3">
      <c r="D94" s="230">
        <f>D95+$B$91</f>
        <v>24.5</v>
      </c>
      <c r="E94" s="275">
        <f t="dataTable" ref="E94:F98" dt2D="0" dtr="0" r1="AD97" ca="1"/>
        <v>0.15543468594551091</v>
      </c>
      <c r="F94" s="231">
        <v>2.1301560845646632</v>
      </c>
      <c r="V94" s="6" t="s">
        <v>91</v>
      </c>
      <c r="X94" s="240">
        <f ca="1">Model!D300</f>
        <v>0.12578480839729311</v>
      </c>
      <c r="Y94" s="241">
        <f ca="1">Model!E300</f>
        <v>1.4307838973030098</v>
      </c>
    </row>
    <row r="95" spans="2:41" x14ac:dyDescent="0.3">
      <c r="D95" s="232">
        <f>D96+$B$91</f>
        <v>24</v>
      </c>
      <c r="E95" s="276">
        <v>0.15114699006080629</v>
      </c>
      <c r="F95" s="233">
        <v>2.0818428158815214</v>
      </c>
      <c r="V95" s="6" t="s">
        <v>92</v>
      </c>
      <c r="X95" s="240">
        <f ca="1">Model!D299</f>
        <v>0.13567026257514958</v>
      </c>
      <c r="Y95" s="241">
        <f ca="1">Model!E299</f>
        <v>1.6854748592102557</v>
      </c>
    </row>
    <row r="96" spans="2:41" x14ac:dyDescent="0.3">
      <c r="D96" s="234">
        <v>23.5</v>
      </c>
      <c r="E96" s="277">
        <v>0.14677751660346988</v>
      </c>
      <c r="F96" s="235">
        <v>2.0335295471983796</v>
      </c>
      <c r="V96" s="6" t="s">
        <v>93</v>
      </c>
      <c r="X96" s="240">
        <f ca="1">Model!D298</f>
        <v>0.14677751660346988</v>
      </c>
      <c r="Y96" s="241">
        <f ca="1">Model!E298</f>
        <v>2.0335295471983796</v>
      </c>
      <c r="AD96" s="260" t="s">
        <v>94</v>
      </c>
    </row>
    <row r="97" spans="4:30" x14ac:dyDescent="0.3">
      <c r="D97" s="232">
        <f>D96-$B$91</f>
        <v>23</v>
      </c>
      <c r="E97" s="276">
        <v>0.14232272505760193</v>
      </c>
      <c r="F97" s="233">
        <v>1.9852162785152379</v>
      </c>
      <c r="AD97" s="261">
        <f>'Transaction Details'!C9</f>
        <v>23.5</v>
      </c>
    </row>
    <row r="98" spans="4:30" ht="15" thickBot="1" x14ac:dyDescent="0.35">
      <c r="D98" s="236">
        <f>D97-$B$91</f>
        <v>22.5</v>
      </c>
      <c r="E98" s="278">
        <v>0.13777881264686589</v>
      </c>
      <c r="F98" s="237">
        <v>1.9369030098320965</v>
      </c>
    </row>
  </sheetData>
  <mergeCells count="11">
    <mergeCell ref="L53:M53"/>
    <mergeCell ref="AA53:AD53"/>
    <mergeCell ref="C91:G91"/>
    <mergeCell ref="J91:N91"/>
    <mergeCell ref="B24:E24"/>
    <mergeCell ref="H24:K24"/>
    <mergeCell ref="N24:R24"/>
    <mergeCell ref="C27:D27"/>
    <mergeCell ref="I27:J27"/>
    <mergeCell ref="O27:Q27"/>
    <mergeCell ref="AA70:AD70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F469E-2481-4028-9897-A40A12FA5AC8}">
  <dimension ref="B3:R49"/>
  <sheetViews>
    <sheetView showGridLines="0" topLeftCell="A32" zoomScaleNormal="100" workbookViewId="0">
      <selection activeCell="D48" sqref="D48"/>
    </sheetView>
  </sheetViews>
  <sheetFormatPr defaultColWidth="8.88671875" defaultRowHeight="14.4" x14ac:dyDescent="0.3"/>
  <cols>
    <col min="2" max="2" width="33" bestFit="1" customWidth="1"/>
    <col min="3" max="3" width="8.6640625" bestFit="1" customWidth="1"/>
    <col min="5" max="5" width="33.44140625" bestFit="1" customWidth="1"/>
    <col min="6" max="6" width="10.44140625" bestFit="1" customWidth="1"/>
    <col min="7" max="7" width="9.88671875" bestFit="1" customWidth="1"/>
    <col min="9" max="9" width="8.88671875" bestFit="1" customWidth="1"/>
    <col min="11" max="11" width="9.6640625" customWidth="1"/>
    <col min="17" max="18" width="10.44140625" bestFit="1" customWidth="1"/>
  </cols>
  <sheetData>
    <row r="3" spans="2:18" ht="18" x14ac:dyDescent="0.35">
      <c r="B3" s="1" t="s">
        <v>5</v>
      </c>
      <c r="C3" s="2"/>
      <c r="E3" s="1" t="s">
        <v>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5" spans="2:18" x14ac:dyDescent="0.3">
      <c r="B5" s="3" t="s">
        <v>7</v>
      </c>
    </row>
    <row r="7" spans="2:18" x14ac:dyDescent="0.3">
      <c r="B7" s="4" t="s">
        <v>8</v>
      </c>
      <c r="C7" s="5"/>
      <c r="E7" s="227" t="s">
        <v>9</v>
      </c>
      <c r="F7" s="4" t="s">
        <v>11</v>
      </c>
      <c r="G7" s="4" t="s">
        <v>95</v>
      </c>
      <c r="K7" s="227" t="s">
        <v>12</v>
      </c>
      <c r="L7" s="5"/>
      <c r="M7" s="5"/>
      <c r="N7" s="5"/>
    </row>
    <row r="8" spans="2:18" x14ac:dyDescent="0.3">
      <c r="B8" s="6" t="s">
        <v>96</v>
      </c>
      <c r="C8" s="7">
        <f>C19/C10</f>
        <v>28.379772961816304</v>
      </c>
      <c r="E8" s="6" t="s">
        <v>14</v>
      </c>
      <c r="F8" s="8">
        <v>0</v>
      </c>
      <c r="G8" s="7">
        <f t="shared" ref="G8:G13" si="0">F8/$C$10</f>
        <v>0</v>
      </c>
      <c r="K8" s="6" t="s">
        <v>15</v>
      </c>
      <c r="N8" s="8">
        <f>C15</f>
        <v>52362.03</v>
      </c>
    </row>
    <row r="9" spans="2:18" x14ac:dyDescent="0.3">
      <c r="B9" s="6" t="s">
        <v>97</v>
      </c>
      <c r="C9" s="189">
        <v>23.5</v>
      </c>
      <c r="E9" s="6" t="s">
        <v>17</v>
      </c>
      <c r="F9" s="8">
        <v>2000</v>
      </c>
      <c r="G9" s="7">
        <f t="shared" si="0"/>
        <v>1.0319917440660475</v>
      </c>
      <c r="K9" s="6" t="s">
        <v>18</v>
      </c>
      <c r="N9" s="10">
        <f>C17</f>
        <v>1484</v>
      </c>
    </row>
    <row r="10" spans="2:18" x14ac:dyDescent="0.3">
      <c r="B10" s="6" t="s">
        <v>19</v>
      </c>
      <c r="C10" s="8">
        <v>1938</v>
      </c>
      <c r="E10" s="6" t="s">
        <v>20</v>
      </c>
      <c r="F10" s="8">
        <v>17000</v>
      </c>
      <c r="G10" s="7">
        <f t="shared" si="0"/>
        <v>8.7719298245614041</v>
      </c>
      <c r="K10" s="6" t="s">
        <v>21</v>
      </c>
      <c r="N10" s="228">
        <f>O25</f>
        <v>1153.9739999999999</v>
      </c>
    </row>
    <row r="11" spans="2:18" x14ac:dyDescent="0.3">
      <c r="B11" s="6" t="s">
        <v>98</v>
      </c>
      <c r="C11" s="28" t="s">
        <v>99</v>
      </c>
      <c r="E11" s="6" t="s">
        <v>22</v>
      </c>
      <c r="F11" s="55">
        <f>36000-5184</f>
        <v>30816</v>
      </c>
      <c r="G11" s="7">
        <f t="shared" si="0"/>
        <v>15.90092879256966</v>
      </c>
      <c r="K11" s="25" t="s">
        <v>23</v>
      </c>
      <c r="N11" s="56">
        <f>SUM(N8:N10)</f>
        <v>55000.004000000001</v>
      </c>
    </row>
    <row r="12" spans="2:18" x14ac:dyDescent="0.3">
      <c r="B12" s="6"/>
      <c r="E12" s="6" t="s">
        <v>25</v>
      </c>
      <c r="F12" s="228">
        <f>C15*9.9%</f>
        <v>5183.8409700000002</v>
      </c>
      <c r="G12" s="229">
        <f t="shared" si="0"/>
        <v>2.6748405417956658</v>
      </c>
    </row>
    <row r="13" spans="2:18" x14ac:dyDescent="0.3">
      <c r="E13" s="25" t="s">
        <v>26</v>
      </c>
      <c r="F13" s="56">
        <f>SUM(F9:F12)</f>
        <v>54999.840969999997</v>
      </c>
      <c r="G13" s="57">
        <f t="shared" si="0"/>
        <v>28.379690902992774</v>
      </c>
    </row>
    <row r="14" spans="2:18" x14ac:dyDescent="0.3">
      <c r="B14" s="4" t="s">
        <v>24</v>
      </c>
      <c r="C14" s="5"/>
      <c r="K14" s="226" t="s">
        <v>100</v>
      </c>
      <c r="L14" s="5"/>
      <c r="M14" s="5" t="s">
        <v>101</v>
      </c>
      <c r="N14" s="5"/>
    </row>
    <row r="15" spans="2:18" x14ac:dyDescent="0.3">
      <c r="B15" s="6" t="s">
        <v>15</v>
      </c>
      <c r="C15" s="10">
        <f>C21*C22</f>
        <v>52362.03</v>
      </c>
      <c r="K15" s="97">
        <f>SUM(F11:F12)/F13</f>
        <v>0.6545444556764507</v>
      </c>
      <c r="L15" s="97"/>
      <c r="M15" s="97">
        <f>SUM(F9:F10)/F13</f>
        <v>0.34545554432354936</v>
      </c>
      <c r="N15" s="97"/>
    </row>
    <row r="16" spans="2:18" x14ac:dyDescent="0.3">
      <c r="B16" s="6" t="s">
        <v>102</v>
      </c>
      <c r="C16" s="8">
        <v>2136</v>
      </c>
    </row>
    <row r="17" spans="2:18" x14ac:dyDescent="0.3">
      <c r="B17" s="6" t="s">
        <v>52</v>
      </c>
      <c r="C17" s="8">
        <v>1484</v>
      </c>
    </row>
    <row r="18" spans="2:18" x14ac:dyDescent="0.3">
      <c r="B18" s="6" t="s">
        <v>27</v>
      </c>
      <c r="C18" s="54">
        <f>C17-C16</f>
        <v>-652</v>
      </c>
    </row>
    <row r="19" spans="2:18" ht="18" x14ac:dyDescent="0.35">
      <c r="B19" s="6" t="s">
        <v>103</v>
      </c>
      <c r="C19" s="8">
        <v>55000</v>
      </c>
      <c r="E19" s="1" t="s">
        <v>104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2:18" x14ac:dyDescent="0.3">
      <c r="B20" s="6"/>
      <c r="C20" s="10"/>
    </row>
    <row r="21" spans="2:18" x14ac:dyDescent="0.3">
      <c r="B21" s="6" t="s">
        <v>105</v>
      </c>
      <c r="C21" s="279">
        <v>249.34299999999999</v>
      </c>
      <c r="E21" s="4" t="s">
        <v>106</v>
      </c>
      <c r="F21" s="5"/>
      <c r="K21" s="4" t="s">
        <v>21</v>
      </c>
      <c r="L21" s="5"/>
      <c r="M21" s="5"/>
      <c r="N21" s="58" t="s">
        <v>63</v>
      </c>
      <c r="O21" s="59" t="s">
        <v>107</v>
      </c>
      <c r="Q21" s="4" t="s">
        <v>108</v>
      </c>
      <c r="R21" s="5"/>
    </row>
    <row r="22" spans="2:18" x14ac:dyDescent="0.3">
      <c r="B22" s="6" t="s">
        <v>109</v>
      </c>
      <c r="C22" s="11">
        <v>210</v>
      </c>
      <c r="E22" s="26" t="s">
        <v>110</v>
      </c>
      <c r="F22" s="27">
        <v>46113</v>
      </c>
      <c r="K22" s="30" t="s">
        <v>111</v>
      </c>
      <c r="N22" s="31">
        <v>0.02</v>
      </c>
      <c r="O22" s="32">
        <f>Model!M131*N22</f>
        <v>29.974</v>
      </c>
      <c r="Q22" s="27">
        <v>46157</v>
      </c>
      <c r="R22" s="27">
        <v>46477</v>
      </c>
    </row>
    <row r="23" spans="2:18" x14ac:dyDescent="0.3">
      <c r="B23" s="6" t="s">
        <v>33</v>
      </c>
      <c r="C23" s="11">
        <v>168.32</v>
      </c>
      <c r="D23" s="91"/>
      <c r="E23" s="26" t="s">
        <v>112</v>
      </c>
      <c r="F23" s="27">
        <v>46112</v>
      </c>
      <c r="K23" s="33" t="s">
        <v>113</v>
      </c>
      <c r="N23" s="34"/>
      <c r="O23" s="10">
        <f>SUM(G36:G38)</f>
        <v>290</v>
      </c>
      <c r="Q23" s="35">
        <f>1-R23</f>
        <v>0.12222222222222223</v>
      </c>
      <c r="R23" s="35">
        <f>YEARFRAC(Q22,R22)</f>
        <v>0.87777777777777777</v>
      </c>
    </row>
    <row r="24" spans="2:18" x14ac:dyDescent="0.3">
      <c r="B24" s="6" t="s">
        <v>34</v>
      </c>
      <c r="C24" s="12">
        <f>(C22/C23)-1</f>
        <v>0.24762357414448677</v>
      </c>
      <c r="E24" s="26" t="s">
        <v>114</v>
      </c>
      <c r="F24" s="27">
        <v>46157</v>
      </c>
      <c r="K24" s="33" t="s">
        <v>115</v>
      </c>
      <c r="N24" s="163">
        <f>(1154-320)/C15</f>
        <v>1.5927571944785182E-2</v>
      </c>
      <c r="O24" s="10">
        <f>N24*C15</f>
        <v>834</v>
      </c>
    </row>
    <row r="25" spans="2:18" x14ac:dyDescent="0.3">
      <c r="E25" s="26" t="s">
        <v>116</v>
      </c>
      <c r="F25" s="28">
        <v>2026</v>
      </c>
      <c r="K25" s="36" t="s">
        <v>117</v>
      </c>
      <c r="N25" s="31"/>
      <c r="O25" s="10">
        <f>SUM(O22:O24)</f>
        <v>1153.9739999999999</v>
      </c>
    </row>
    <row r="26" spans="2:18" x14ac:dyDescent="0.3">
      <c r="F26" s="9"/>
      <c r="K26" s="36"/>
      <c r="N26" s="37"/>
      <c r="O26" s="10"/>
    </row>
    <row r="27" spans="2:18" x14ac:dyDescent="0.3">
      <c r="E27" s="26" t="s">
        <v>118</v>
      </c>
      <c r="F27" s="9">
        <v>365</v>
      </c>
    </row>
    <row r="28" spans="2:18" x14ac:dyDescent="0.3">
      <c r="E28" s="26" t="s">
        <v>119</v>
      </c>
      <c r="F28" s="29">
        <v>0.3</v>
      </c>
    </row>
    <row r="29" spans="2:18" x14ac:dyDescent="0.3">
      <c r="E29" s="26" t="s">
        <v>120</v>
      </c>
      <c r="F29" s="8">
        <v>750</v>
      </c>
    </row>
    <row r="32" spans="2:18" ht="18" x14ac:dyDescent="0.35">
      <c r="B32" s="1" t="s">
        <v>121</v>
      </c>
      <c r="C32" s="2"/>
      <c r="D32" s="2"/>
      <c r="E32" s="2"/>
      <c r="F32" s="2"/>
      <c r="G32" s="2"/>
      <c r="H32" s="2"/>
      <c r="I32" s="2"/>
    </row>
    <row r="33" spans="2:11" x14ac:dyDescent="0.3">
      <c r="I33" s="38"/>
    </row>
    <row r="34" spans="2:11" x14ac:dyDescent="0.3">
      <c r="C34" s="39"/>
      <c r="D34" s="40"/>
      <c r="E34" s="41"/>
      <c r="F34" s="42" t="s">
        <v>122</v>
      </c>
      <c r="G34" s="42" t="s">
        <v>122</v>
      </c>
      <c r="H34" s="42" t="s">
        <v>123</v>
      </c>
      <c r="I34" s="42" t="s">
        <v>124</v>
      </c>
    </row>
    <row r="35" spans="2:11" x14ac:dyDescent="0.3">
      <c r="B35" s="4" t="s">
        <v>125</v>
      </c>
      <c r="C35" s="43" t="s">
        <v>11</v>
      </c>
      <c r="D35" s="43" t="s">
        <v>126</v>
      </c>
      <c r="E35" s="44" t="s">
        <v>127</v>
      </c>
      <c r="F35" s="44" t="s">
        <v>128</v>
      </c>
      <c r="G35" s="44" t="s">
        <v>129</v>
      </c>
      <c r="H35" s="44" t="s">
        <v>129</v>
      </c>
      <c r="I35" s="44" t="s">
        <v>130</v>
      </c>
    </row>
    <row r="36" spans="2:11" x14ac:dyDescent="0.3">
      <c r="B36" s="6" t="s">
        <v>131</v>
      </c>
      <c r="C36" s="10">
        <f>F8</f>
        <v>0</v>
      </c>
      <c r="D36" s="12">
        <f>C36/$F$13</f>
        <v>0</v>
      </c>
      <c r="E36" s="157">
        <v>1000</v>
      </c>
      <c r="F36" s="158">
        <v>0.01</v>
      </c>
      <c r="G36" s="159">
        <f>F36*E36</f>
        <v>10</v>
      </c>
      <c r="H36" s="158">
        <v>2.5000000000000001E-3</v>
      </c>
      <c r="I36" s="160">
        <v>200</v>
      </c>
    </row>
    <row r="37" spans="2:11" x14ac:dyDescent="0.3">
      <c r="B37" s="6" t="s">
        <v>17</v>
      </c>
      <c r="C37" s="10">
        <f>F9</f>
        <v>2000</v>
      </c>
      <c r="D37" s="12">
        <f>C37/$F$13</f>
        <v>3.6363741507742041E-2</v>
      </c>
      <c r="E37" s="157" t="s">
        <v>56</v>
      </c>
      <c r="F37" s="158">
        <v>1.2500000000000001E-2</v>
      </c>
      <c r="G37" s="159">
        <f>F37*C37</f>
        <v>25</v>
      </c>
      <c r="H37" s="157" t="s">
        <v>56</v>
      </c>
      <c r="I37" s="160">
        <v>225</v>
      </c>
    </row>
    <row r="38" spans="2:11" x14ac:dyDescent="0.3">
      <c r="B38" s="6" t="s">
        <v>20</v>
      </c>
      <c r="C38" s="10">
        <f>F10</f>
        <v>17000</v>
      </c>
      <c r="D38" s="12">
        <f>C38/$F$13</f>
        <v>0.30909180281580734</v>
      </c>
      <c r="E38" s="157" t="s">
        <v>56</v>
      </c>
      <c r="F38" s="158">
        <v>1.4999999999999999E-2</v>
      </c>
      <c r="G38" s="159">
        <f>F38*C38</f>
        <v>255</v>
      </c>
      <c r="H38" s="157" t="s">
        <v>56</v>
      </c>
      <c r="I38" s="160">
        <v>275</v>
      </c>
    </row>
    <row r="39" spans="2:11" x14ac:dyDescent="0.3">
      <c r="B39" s="6" t="s">
        <v>25</v>
      </c>
      <c r="C39" s="10">
        <f>F11</f>
        <v>30816</v>
      </c>
      <c r="D39" s="12">
        <f>C39/$F$13</f>
        <v>0.56029252915128935</v>
      </c>
      <c r="E39" s="157" t="s">
        <v>56</v>
      </c>
      <c r="F39" s="157" t="s">
        <v>56</v>
      </c>
      <c r="G39" s="157" t="s">
        <v>56</v>
      </c>
      <c r="H39" s="157" t="s">
        <v>56</v>
      </c>
      <c r="I39" s="157" t="s">
        <v>56</v>
      </c>
    </row>
    <row r="40" spans="2:11" x14ac:dyDescent="0.3">
      <c r="B40" s="6" t="s">
        <v>22</v>
      </c>
      <c r="C40" s="10">
        <f>F12</f>
        <v>5183.8409700000002</v>
      </c>
      <c r="D40" s="12">
        <f>C40/$F$13</f>
        <v>9.4251926525161372E-2</v>
      </c>
      <c r="E40" s="157" t="s">
        <v>56</v>
      </c>
      <c r="F40" s="157" t="s">
        <v>56</v>
      </c>
      <c r="G40" s="157" t="s">
        <v>56</v>
      </c>
      <c r="H40" s="157" t="s">
        <v>56</v>
      </c>
      <c r="I40" s="157" t="s">
        <v>56</v>
      </c>
    </row>
    <row r="41" spans="2:11" x14ac:dyDescent="0.3">
      <c r="B41" s="6" t="s">
        <v>89</v>
      </c>
      <c r="C41" s="8">
        <v>5000</v>
      </c>
      <c r="D41" s="29">
        <v>0</v>
      </c>
      <c r="E41" s="157" t="s">
        <v>56</v>
      </c>
      <c r="F41" s="158">
        <v>0.02</v>
      </c>
      <c r="G41" s="198">
        <f>F41*C41</f>
        <v>100</v>
      </c>
      <c r="H41" s="157" t="s">
        <v>56</v>
      </c>
      <c r="I41" s="160">
        <v>275</v>
      </c>
      <c r="J41" s="216"/>
    </row>
    <row r="42" spans="2:11" x14ac:dyDescent="0.3">
      <c r="B42" s="6"/>
      <c r="C42" s="10"/>
      <c r="D42" s="12"/>
      <c r="E42" s="45"/>
      <c r="F42" s="45"/>
      <c r="G42" s="45"/>
      <c r="H42" s="45"/>
      <c r="I42" s="45"/>
    </row>
    <row r="43" spans="2:11" x14ac:dyDescent="0.3">
      <c r="B43" s="6"/>
      <c r="C43" s="10"/>
      <c r="D43" s="12"/>
      <c r="E43" s="45"/>
      <c r="F43" s="45"/>
      <c r="G43" s="45"/>
      <c r="H43" s="45"/>
      <c r="I43" s="45"/>
    </row>
    <row r="44" spans="2:11" x14ac:dyDescent="0.3">
      <c r="B44" s="38"/>
      <c r="C44" s="42"/>
      <c r="D44" s="46" t="s">
        <v>53</v>
      </c>
      <c r="E44" s="47" t="s">
        <v>132</v>
      </c>
      <c r="F44" s="47"/>
      <c r="G44" s="47"/>
      <c r="H44" s="47"/>
      <c r="I44" s="47"/>
      <c r="J44" s="48"/>
    </row>
    <row r="45" spans="2:11" x14ac:dyDescent="0.3">
      <c r="B45" s="4" t="s">
        <v>133</v>
      </c>
      <c r="C45" s="49"/>
      <c r="D45" s="50" t="s">
        <v>134</v>
      </c>
      <c r="E45" s="176">
        <v>0</v>
      </c>
      <c r="F45" s="51">
        <f>E45+1</f>
        <v>1</v>
      </c>
      <c r="G45" s="51">
        <f>F45+1</f>
        <v>2</v>
      </c>
      <c r="H45" s="51">
        <f t="shared" ref="H45:K45" si="1">G45+1</f>
        <v>3</v>
      </c>
      <c r="I45" s="51">
        <f t="shared" si="1"/>
        <v>4</v>
      </c>
      <c r="J45" s="51">
        <f t="shared" si="1"/>
        <v>5</v>
      </c>
      <c r="K45" s="51">
        <f t="shared" si="1"/>
        <v>6</v>
      </c>
    </row>
    <row r="46" spans="2:11" x14ac:dyDescent="0.3">
      <c r="B46" s="6" t="s">
        <v>131</v>
      </c>
      <c r="C46" s="52"/>
      <c r="D46" s="28" t="s">
        <v>56</v>
      </c>
      <c r="E46" s="28" t="s">
        <v>56</v>
      </c>
      <c r="F46" s="28" t="s">
        <v>56</v>
      </c>
      <c r="G46" s="28" t="s">
        <v>56</v>
      </c>
      <c r="H46" s="28" t="s">
        <v>56</v>
      </c>
      <c r="I46" s="28" t="s">
        <v>56</v>
      </c>
      <c r="J46" s="28" t="s">
        <v>56</v>
      </c>
      <c r="K46" s="28" t="s">
        <v>56</v>
      </c>
    </row>
    <row r="47" spans="2:11" x14ac:dyDescent="0.3">
      <c r="B47" s="6" t="s">
        <v>17</v>
      </c>
      <c r="D47" s="31">
        <v>0</v>
      </c>
      <c r="E47" s="31">
        <v>0.01</v>
      </c>
      <c r="F47" s="31">
        <v>0.01</v>
      </c>
      <c r="G47" s="31">
        <v>0.01</v>
      </c>
      <c r="H47" s="31">
        <v>0.01</v>
      </c>
      <c r="I47" s="31">
        <v>0.01</v>
      </c>
      <c r="J47" s="31">
        <v>0.01</v>
      </c>
      <c r="K47" s="31">
        <v>0.01</v>
      </c>
    </row>
    <row r="48" spans="2:11" x14ac:dyDescent="0.3">
      <c r="B48" s="6" t="s">
        <v>20</v>
      </c>
      <c r="D48" s="31">
        <v>0.75</v>
      </c>
      <c r="E48" s="31">
        <v>0.12</v>
      </c>
      <c r="F48" s="31">
        <v>0.12</v>
      </c>
      <c r="G48" s="31">
        <v>0.12</v>
      </c>
      <c r="H48" s="31">
        <v>0.12</v>
      </c>
      <c r="I48" s="31">
        <v>0.12</v>
      </c>
      <c r="J48" s="31">
        <v>0.12</v>
      </c>
      <c r="K48" s="31">
        <v>0.12</v>
      </c>
    </row>
    <row r="49" spans="2:12" x14ac:dyDescent="0.3">
      <c r="B49" s="6" t="s">
        <v>89</v>
      </c>
      <c r="D49" s="31">
        <v>0</v>
      </c>
      <c r="E49" s="197" t="s">
        <v>56</v>
      </c>
      <c r="F49" s="197" t="s">
        <v>56</v>
      </c>
      <c r="G49" s="197">
        <v>7.4999999999999997E-2</v>
      </c>
      <c r="H49" s="197">
        <v>7.4999999999999997E-2</v>
      </c>
      <c r="I49" s="197">
        <v>7.4999999999999997E-2</v>
      </c>
      <c r="J49" s="197">
        <v>7.4999999999999997E-2</v>
      </c>
      <c r="K49" s="197">
        <v>7.4999999999999997E-2</v>
      </c>
      <c r="L49" s="216"/>
    </row>
  </sheetData>
  <pageMargins left="0.7" right="0.7" top="0.75" bottom="0.75" header="0.3" footer="0.3"/>
  <pageSetup paperSize="9"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AAAAA-B541-4410-8482-1665FD07DB91}">
  <dimension ref="A2:R77"/>
  <sheetViews>
    <sheetView showGridLines="0" zoomScaleNormal="100" workbookViewId="0">
      <selection activeCell="B2" sqref="B2"/>
    </sheetView>
  </sheetViews>
  <sheetFormatPr defaultColWidth="8.88671875" defaultRowHeight="14.4" x14ac:dyDescent="0.3"/>
  <cols>
    <col min="2" max="2" width="36.6640625" bestFit="1" customWidth="1"/>
    <col min="3" max="3" width="13.44140625" customWidth="1"/>
    <col min="4" max="4" width="10.109375" bestFit="1" customWidth="1"/>
    <col min="5" max="5" width="14.109375" customWidth="1"/>
    <col min="7" max="7" width="10.6640625" bestFit="1" customWidth="1"/>
    <col min="8" max="16" width="9.6640625" bestFit="1" customWidth="1"/>
    <col min="17" max="17" width="9.44140625" bestFit="1" customWidth="1"/>
  </cols>
  <sheetData>
    <row r="2" spans="1:18" ht="15.6" x14ac:dyDescent="0.3">
      <c r="A2" s="76" t="s">
        <v>135</v>
      </c>
      <c r="B2" s="85" t="s">
        <v>136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</row>
    <row r="3" spans="1:18" ht="15" thickBot="1" x14ac:dyDescent="0.35"/>
    <row r="4" spans="1:18" ht="15" thickBot="1" x14ac:dyDescent="0.35">
      <c r="B4" t="s">
        <v>137</v>
      </c>
      <c r="D4" t="s">
        <v>138</v>
      </c>
      <c r="E4" s="107">
        <v>2</v>
      </c>
      <c r="G4" s="61">
        <v>2022</v>
      </c>
      <c r="H4" s="61">
        <v>2023</v>
      </c>
      <c r="I4" s="61">
        <v>2024</v>
      </c>
      <c r="J4" s="64">
        <v>2025</v>
      </c>
      <c r="K4" s="73">
        <f t="shared" ref="K4:P4" si="0">J4+1</f>
        <v>2026</v>
      </c>
      <c r="L4" s="73">
        <f t="shared" si="0"/>
        <v>2027</v>
      </c>
      <c r="M4" s="73">
        <f t="shared" si="0"/>
        <v>2028</v>
      </c>
      <c r="N4" s="73">
        <f t="shared" si="0"/>
        <v>2029</v>
      </c>
      <c r="O4" s="73">
        <f t="shared" si="0"/>
        <v>2030</v>
      </c>
      <c r="P4" s="73">
        <f t="shared" si="0"/>
        <v>2031</v>
      </c>
      <c r="Q4" s="73">
        <f>P4+1</f>
        <v>2032</v>
      </c>
    </row>
    <row r="6" spans="1:18" x14ac:dyDescent="0.3">
      <c r="B6" s="38" t="s">
        <v>139</v>
      </c>
      <c r="G6" s="98">
        <f>Model!H7</f>
        <v>0.24196127198436668</v>
      </c>
      <c r="H6" s="98">
        <f>Model!I7</f>
        <v>6.2222857960234634E-2</v>
      </c>
      <c r="I6" s="98">
        <f>Model!J7</f>
        <v>1.8314031780231721E-2</v>
      </c>
      <c r="J6" s="98">
        <f>Model!K7</f>
        <v>-1.3091774662787659E-2</v>
      </c>
      <c r="K6" s="89">
        <f>Model!L7</f>
        <v>4.8047701996516201E-2</v>
      </c>
      <c r="L6" s="89">
        <f>Model!M7</f>
        <v>7.5477512216201914E-2</v>
      </c>
      <c r="M6" s="89">
        <f>Model!N7</f>
        <v>2.3612130833085221E-2</v>
      </c>
      <c r="N6" s="89">
        <f>Model!O7</f>
        <v>4.8085141785585872E-2</v>
      </c>
      <c r="O6" s="89">
        <f>Model!P7</f>
        <v>6.0049813140974795E-2</v>
      </c>
      <c r="P6" s="89">
        <f>Model!Q7</f>
        <v>2.6076721951133086E-2</v>
      </c>
      <c r="Q6" s="89">
        <f>Model!R7</f>
        <v>5.0000000000000044E-2</v>
      </c>
    </row>
    <row r="8" spans="1:18" x14ac:dyDescent="0.3">
      <c r="B8" t="s">
        <v>140</v>
      </c>
    </row>
    <row r="10" spans="1:18" x14ac:dyDescent="0.3">
      <c r="B10" s="19" t="s">
        <v>141</v>
      </c>
      <c r="G10" s="99">
        <f>Model!H12</f>
        <v>0.23558586484810906</v>
      </c>
      <c r="H10" s="100">
        <f>Model!I12</f>
        <v>-2.8098344204716463E-2</v>
      </c>
      <c r="I10" s="100">
        <f>Model!J12</f>
        <v>4.0268456375838868E-2</v>
      </c>
      <c r="J10" s="100">
        <f>Model!K12</f>
        <v>-6.4516129032258229E-3</v>
      </c>
      <c r="K10" s="95">
        <f t="shared" ref="K10:Q10" si="1">CHOOSE($E$4,K11,K12,K13)</f>
        <v>7.0000000000000007E-2</v>
      </c>
      <c r="L10" s="95">
        <f t="shared" si="1"/>
        <v>0.09</v>
      </c>
      <c r="M10" s="95">
        <f t="shared" si="1"/>
        <v>0.02</v>
      </c>
      <c r="N10" s="95">
        <f t="shared" si="1"/>
        <v>0.03</v>
      </c>
      <c r="O10" s="95">
        <f t="shared" si="1"/>
        <v>0.02</v>
      </c>
      <c r="P10" s="95">
        <v>1.4999999999999999E-2</v>
      </c>
      <c r="Q10" s="164">
        <f t="shared" si="1"/>
        <v>0.05</v>
      </c>
    </row>
    <row r="11" spans="1:18" x14ac:dyDescent="0.3">
      <c r="B11" t="s">
        <v>142</v>
      </c>
      <c r="C11" s="269">
        <v>1.4999999999999999E-2</v>
      </c>
      <c r="F11" s="102"/>
      <c r="K11" s="97">
        <f>K12+$C$11</f>
        <v>8.5000000000000006E-2</v>
      </c>
      <c r="L11" s="97">
        <f>L12+2*$C$11</f>
        <v>0.12</v>
      </c>
      <c r="M11" s="97">
        <f>M12+$C$11</f>
        <v>3.5000000000000003E-2</v>
      </c>
      <c r="N11" s="97">
        <f>N12+$C$11</f>
        <v>4.4999999999999998E-2</v>
      </c>
      <c r="O11" s="97">
        <f>O12+$C$11</f>
        <v>3.5000000000000003E-2</v>
      </c>
      <c r="P11" s="112">
        <f>P12+$C$11</f>
        <v>3.5000000000000003E-2</v>
      </c>
      <c r="Q11" s="167">
        <f>Q12+C11</f>
        <v>6.5000000000000002E-2</v>
      </c>
    </row>
    <row r="12" spans="1:18" x14ac:dyDescent="0.3">
      <c r="B12" t="s">
        <v>143</v>
      </c>
      <c r="C12" s="270" t="s">
        <v>144</v>
      </c>
      <c r="F12" s="102"/>
      <c r="K12" s="106">
        <v>7.0000000000000007E-2</v>
      </c>
      <c r="L12" s="106">
        <v>0.09</v>
      </c>
      <c r="M12" s="106">
        <v>0.02</v>
      </c>
      <c r="N12" s="106">
        <v>0.03</v>
      </c>
      <c r="O12" s="106">
        <v>0.02</v>
      </c>
      <c r="P12" s="154">
        <v>0.02</v>
      </c>
      <c r="Q12" s="166">
        <v>0.05</v>
      </c>
    </row>
    <row r="13" spans="1:18" x14ac:dyDescent="0.3">
      <c r="B13" t="s">
        <v>145</v>
      </c>
      <c r="C13" s="271">
        <v>-0.02</v>
      </c>
      <c r="G13" s="103"/>
      <c r="H13" s="104"/>
      <c r="I13" s="104"/>
      <c r="J13" s="104"/>
      <c r="K13" s="105">
        <f>K12+$C$13</f>
        <v>0.05</v>
      </c>
      <c r="L13" s="105">
        <f>L12+2*$C$13</f>
        <v>4.9999999999999996E-2</v>
      </c>
      <c r="M13" s="105">
        <f>M12+$C$13</f>
        <v>0</v>
      </c>
      <c r="N13" s="105">
        <f>N12+$C$13</f>
        <v>9.9999999999999985E-3</v>
      </c>
      <c r="O13" s="105">
        <f>O12+$C$13</f>
        <v>0</v>
      </c>
      <c r="P13" s="105">
        <f>P12+$C$13</f>
        <v>0</v>
      </c>
      <c r="Q13" s="168">
        <f>Q12+C13</f>
        <v>3.0000000000000002E-2</v>
      </c>
    </row>
    <row r="14" spans="1:18" x14ac:dyDescent="0.3">
      <c r="C14" s="9"/>
      <c r="K14" s="12"/>
      <c r="L14" s="12"/>
      <c r="M14" s="12"/>
      <c r="N14" s="12"/>
      <c r="O14" s="12"/>
      <c r="P14" s="155"/>
    </row>
    <row r="15" spans="1:18" x14ac:dyDescent="0.3">
      <c r="B15" s="19" t="s">
        <v>146</v>
      </c>
      <c r="C15" s="9"/>
      <c r="G15" s="99">
        <f>Model!H15</f>
        <v>0.2445219123505975</v>
      </c>
      <c r="H15" s="100">
        <f>Model!I15</f>
        <v>9.8239295718287378E-2</v>
      </c>
      <c r="I15" s="100">
        <f>Model!J15</f>
        <v>1.0566587720896248E-2</v>
      </c>
      <c r="J15" s="100">
        <f>Model!K15</f>
        <v>-1.5503875968992276E-2</v>
      </c>
      <c r="K15" s="95">
        <f t="shared" ref="K15:Q15" si="2">CHOOSE($E$4,K16,K17,K18)</f>
        <v>0.04</v>
      </c>
      <c r="L15" s="95">
        <f t="shared" si="2"/>
        <v>7.0000000000000007E-2</v>
      </c>
      <c r="M15" s="95">
        <f t="shared" si="2"/>
        <v>2.5000000000000001E-2</v>
      </c>
      <c r="N15" s="95">
        <f t="shared" si="2"/>
        <v>5.5E-2</v>
      </c>
      <c r="O15" s="95">
        <f t="shared" si="2"/>
        <v>7.4999999999999997E-2</v>
      </c>
      <c r="P15" s="95">
        <f t="shared" si="2"/>
        <v>0.03</v>
      </c>
      <c r="Q15" s="169">
        <f t="shared" si="2"/>
        <v>0.05</v>
      </c>
    </row>
    <row r="16" spans="1:18" x14ac:dyDescent="0.3">
      <c r="B16" t="s">
        <v>142</v>
      </c>
      <c r="C16" s="269">
        <v>1.2500000000000001E-2</v>
      </c>
      <c r="F16" s="102"/>
      <c r="K16" s="97">
        <f t="shared" ref="K16:Q16" si="3">K17+$C$16</f>
        <v>5.2500000000000005E-2</v>
      </c>
      <c r="L16" s="97">
        <f t="shared" si="3"/>
        <v>8.2500000000000004E-2</v>
      </c>
      <c r="M16" s="97">
        <f t="shared" si="3"/>
        <v>3.7500000000000006E-2</v>
      </c>
      <c r="N16" s="97">
        <f t="shared" si="3"/>
        <v>6.7500000000000004E-2</v>
      </c>
      <c r="O16" s="97">
        <f t="shared" si="3"/>
        <v>8.7499999999999994E-2</v>
      </c>
      <c r="P16" s="112">
        <f t="shared" si="3"/>
        <v>4.2499999999999996E-2</v>
      </c>
      <c r="Q16" s="167">
        <f t="shared" si="3"/>
        <v>6.25E-2</v>
      </c>
    </row>
    <row r="17" spans="2:17" x14ac:dyDescent="0.3">
      <c r="B17" t="s">
        <v>143</v>
      </c>
      <c r="C17" s="270" t="s">
        <v>144</v>
      </c>
      <c r="F17" s="102"/>
      <c r="K17" s="265">
        <v>0.04</v>
      </c>
      <c r="L17" s="265">
        <v>7.0000000000000007E-2</v>
      </c>
      <c r="M17" s="265">
        <v>2.5000000000000001E-2</v>
      </c>
      <c r="N17" s="265">
        <v>5.5E-2</v>
      </c>
      <c r="O17" s="265">
        <v>7.4999999999999997E-2</v>
      </c>
      <c r="P17" s="273">
        <v>0.03</v>
      </c>
      <c r="Q17" s="274">
        <v>0.05</v>
      </c>
    </row>
    <row r="18" spans="2:17" x14ac:dyDescent="0.3">
      <c r="B18" t="s">
        <v>145</v>
      </c>
      <c r="C18" s="271">
        <v>-1.4999999999999999E-2</v>
      </c>
      <c r="F18" s="102"/>
      <c r="G18" s="104"/>
      <c r="H18" s="104"/>
      <c r="I18" s="104"/>
      <c r="J18" s="104"/>
      <c r="K18" s="105">
        <f t="shared" ref="K18:Q18" si="4">K17+$C$18</f>
        <v>2.5000000000000001E-2</v>
      </c>
      <c r="L18" s="105">
        <f t="shared" si="4"/>
        <v>5.5000000000000007E-2</v>
      </c>
      <c r="M18" s="105">
        <f t="shared" si="4"/>
        <v>1.0000000000000002E-2</v>
      </c>
      <c r="N18" s="105">
        <f t="shared" si="4"/>
        <v>0.04</v>
      </c>
      <c r="O18" s="105">
        <f t="shared" si="4"/>
        <v>0.06</v>
      </c>
      <c r="P18" s="105">
        <f t="shared" si="4"/>
        <v>1.4999999999999999E-2</v>
      </c>
      <c r="Q18" s="168">
        <f t="shared" si="4"/>
        <v>3.5000000000000003E-2</v>
      </c>
    </row>
    <row r="19" spans="2:17" x14ac:dyDescent="0.3">
      <c r="C19" s="272"/>
      <c r="K19" s="112"/>
      <c r="L19" s="112"/>
      <c r="M19" s="112"/>
      <c r="N19" s="112"/>
      <c r="O19" s="112"/>
      <c r="P19" s="112"/>
      <c r="Q19" s="12"/>
    </row>
    <row r="20" spans="2:17" x14ac:dyDescent="0.3">
      <c r="B20" t="s">
        <v>147</v>
      </c>
      <c r="C20" s="272"/>
      <c r="K20" s="112"/>
      <c r="L20" s="112"/>
      <c r="M20" s="112"/>
      <c r="N20" s="112"/>
      <c r="O20" s="112"/>
      <c r="P20" s="112"/>
      <c r="Q20" s="12"/>
    </row>
    <row r="21" spans="2:17" x14ac:dyDescent="0.3">
      <c r="C21" s="9"/>
      <c r="K21" s="12"/>
      <c r="L21" s="12"/>
      <c r="M21" s="12"/>
      <c r="N21" s="12"/>
      <c r="O21" s="12"/>
      <c r="P21" s="155"/>
      <c r="Q21" s="12"/>
    </row>
    <row r="22" spans="2:17" x14ac:dyDescent="0.3">
      <c r="B22" s="38" t="s">
        <v>148</v>
      </c>
      <c r="C22" s="9"/>
      <c r="G22" s="101">
        <f>-Model!H22/Model!H21</f>
        <v>0.26433986554141037</v>
      </c>
      <c r="H22" s="100">
        <f>-Model!I22/Model!I21</f>
        <v>0.23969835712361973</v>
      </c>
      <c r="I22" s="100">
        <f>-Model!J22/Model!J21</f>
        <v>0.22388257074847923</v>
      </c>
      <c r="J22" s="100">
        <f>-Model!K22/Model!K21</f>
        <v>0.20675331636071284</v>
      </c>
      <c r="K22" s="95">
        <f t="shared" ref="K22:Q22" si="5">CHOOSE($E$4,K23,K24,K25)</f>
        <v>0.22</v>
      </c>
      <c r="L22" s="95">
        <f t="shared" si="5"/>
        <v>0.22</v>
      </c>
      <c r="M22" s="95">
        <f t="shared" ca="1" si="5"/>
        <v>0.2175000000023283</v>
      </c>
      <c r="N22" s="95">
        <f t="shared" ca="1" si="5"/>
        <v>0.21500000000465661</v>
      </c>
      <c r="O22" s="95">
        <f t="shared" ca="1" si="5"/>
        <v>0.21250000000698491</v>
      </c>
      <c r="P22" s="95">
        <f t="shared" ca="1" si="5"/>
        <v>0.21000000000931321</v>
      </c>
      <c r="Q22" s="169">
        <f t="shared" ca="1" si="5"/>
        <v>0.2025000000093132</v>
      </c>
    </row>
    <row r="23" spans="2:17" x14ac:dyDescent="0.3">
      <c r="B23" t="s">
        <v>142</v>
      </c>
      <c r="C23" s="271">
        <v>-0.01</v>
      </c>
      <c r="F23" s="102"/>
      <c r="K23" s="97">
        <f t="shared" ref="K23:Q23" si="6">K24+$C$23</f>
        <v>0.21</v>
      </c>
      <c r="L23" s="97">
        <f t="shared" si="6"/>
        <v>0.21</v>
      </c>
      <c r="M23" s="97">
        <f t="shared" ca="1" si="6"/>
        <v>0.20750000000232829</v>
      </c>
      <c r="N23" s="97">
        <f t="shared" ca="1" si="6"/>
        <v>0.2050000000046566</v>
      </c>
      <c r="O23" s="97">
        <f t="shared" ca="1" si="6"/>
        <v>0.2025000000069849</v>
      </c>
      <c r="P23" s="112">
        <f t="shared" ca="1" si="6"/>
        <v>0.2000000000093132</v>
      </c>
      <c r="Q23" s="167">
        <f t="shared" ca="1" si="6"/>
        <v>0.19250000000931319</v>
      </c>
    </row>
    <row r="24" spans="2:17" x14ac:dyDescent="0.3">
      <c r="B24" t="s">
        <v>143</v>
      </c>
      <c r="C24" s="270" t="s">
        <v>144</v>
      </c>
      <c r="F24" s="102"/>
      <c r="K24" s="265">
        <v>0.22</v>
      </c>
      <c r="L24" s="265">
        <v>0.22</v>
      </c>
      <c r="M24" s="97">
        <f ca="1">L24-($L$24-$P$24)/4</f>
        <v>0.2175000000023283</v>
      </c>
      <c r="N24" s="97">
        <f t="shared" ref="N24:O24" ca="1" si="7">M24-($L$24-$P$24)/4</f>
        <v>0.21500000000465661</v>
      </c>
      <c r="O24" s="97">
        <f t="shared" ca="1" si="7"/>
        <v>0.21250000000698491</v>
      </c>
      <c r="P24" s="97">
        <f t="shared" ref="P24" ca="1" si="8">O24-($L$24-$P$24)/4</f>
        <v>0.21000000000931321</v>
      </c>
      <c r="Q24" s="165">
        <f ca="1">P24-0.75%</f>
        <v>0.2025000000093132</v>
      </c>
    </row>
    <row r="25" spans="2:17" x14ac:dyDescent="0.3">
      <c r="B25" t="s">
        <v>145</v>
      </c>
      <c r="C25" s="269">
        <v>0.01</v>
      </c>
      <c r="G25" s="103"/>
      <c r="H25" s="104"/>
      <c r="I25" s="104"/>
      <c r="J25" s="104"/>
      <c r="K25" s="105">
        <f t="shared" ref="K25:Q25" si="9">K24+$C$25</f>
        <v>0.23</v>
      </c>
      <c r="L25" s="105">
        <f t="shared" si="9"/>
        <v>0.23</v>
      </c>
      <c r="M25" s="105">
        <f t="shared" ca="1" si="9"/>
        <v>0.22750000000232831</v>
      </c>
      <c r="N25" s="105">
        <f t="shared" ca="1" si="9"/>
        <v>0.22500000000465661</v>
      </c>
      <c r="O25" s="105">
        <f t="shared" ca="1" si="9"/>
        <v>0.22250000000698492</v>
      </c>
      <c r="P25" s="105">
        <f t="shared" ca="1" si="9"/>
        <v>0.22000000000931322</v>
      </c>
      <c r="Q25" s="168">
        <f t="shared" ca="1" si="9"/>
        <v>0.21250000000931321</v>
      </c>
    </row>
    <row r="26" spans="2:17" x14ac:dyDescent="0.3">
      <c r="C26" s="9"/>
      <c r="K26" s="12"/>
      <c r="L26" s="12"/>
      <c r="M26" s="12"/>
      <c r="N26" s="12"/>
      <c r="O26" s="12"/>
      <c r="P26" s="155"/>
      <c r="Q26" s="12"/>
    </row>
    <row r="27" spans="2:17" x14ac:dyDescent="0.3">
      <c r="B27" s="38" t="s">
        <v>41</v>
      </c>
      <c r="C27" s="9"/>
      <c r="G27" s="101">
        <f>-Model!H26/Model!H21</f>
        <v>0.31268774138177657</v>
      </c>
      <c r="H27" s="100">
        <f>-Model!I26/Model!I21</f>
        <v>0.31349313223808239</v>
      </c>
      <c r="I27" s="100">
        <f>-Model!J26/Model!J21</f>
        <v>0.32002115842369744</v>
      </c>
      <c r="J27" s="100">
        <f>-Model!K26/Model!K21</f>
        <v>0.34423154227522446</v>
      </c>
      <c r="K27" s="95">
        <f t="shared" ref="K27:P27" si="10">CHOOSE($E$4,K28,K29,K30)</f>
        <v>0.34499999999999997</v>
      </c>
      <c r="L27" s="95">
        <f t="shared" si="10"/>
        <v>0.34499999999999997</v>
      </c>
      <c r="M27" s="95">
        <f t="shared" si="10"/>
        <v>0.33999999999999997</v>
      </c>
      <c r="N27" s="95">
        <f t="shared" si="10"/>
        <v>0.32333333333333331</v>
      </c>
      <c r="O27" s="95">
        <f t="shared" si="10"/>
        <v>0.30666666666666664</v>
      </c>
      <c r="P27" s="95">
        <f t="shared" si="10"/>
        <v>0.28999999999999998</v>
      </c>
      <c r="Q27" s="169">
        <f t="shared" ref="Q27" si="11">CHOOSE($E$4,Q28,Q29,Q30)</f>
        <v>0.27499999999999997</v>
      </c>
    </row>
    <row r="28" spans="2:17" x14ac:dyDescent="0.3">
      <c r="B28" t="s">
        <v>142</v>
      </c>
      <c r="C28" s="271">
        <v>-1.4999999999999999E-2</v>
      </c>
      <c r="F28" s="102"/>
      <c r="K28" s="97">
        <f t="shared" ref="K28:Q28" si="12">K29+$C$28</f>
        <v>0.32999999999999996</v>
      </c>
      <c r="L28" s="97">
        <f t="shared" si="12"/>
        <v>0.32999999999999996</v>
      </c>
      <c r="M28" s="97">
        <f t="shared" si="12"/>
        <v>0.32499999999999996</v>
      </c>
      <c r="N28" s="97">
        <f t="shared" si="12"/>
        <v>0.30833333333333329</v>
      </c>
      <c r="O28" s="97">
        <f t="shared" si="12"/>
        <v>0.29166666666666663</v>
      </c>
      <c r="P28" s="112">
        <f t="shared" si="12"/>
        <v>0.27499999999999997</v>
      </c>
      <c r="Q28" s="167">
        <f t="shared" si="12"/>
        <v>0.25999999999999995</v>
      </c>
    </row>
    <row r="29" spans="2:17" x14ac:dyDescent="0.3">
      <c r="B29" t="s">
        <v>143</v>
      </c>
      <c r="C29" s="270" t="s">
        <v>144</v>
      </c>
      <c r="F29" s="102"/>
      <c r="K29" s="265">
        <v>0.34499999999999997</v>
      </c>
      <c r="L29" s="97">
        <f>K29</f>
        <v>0.34499999999999997</v>
      </c>
      <c r="M29" s="97">
        <f>L29-0.5%</f>
        <v>0.33999999999999997</v>
      </c>
      <c r="N29" s="97">
        <f>M29+($P$29-$M$29)/3</f>
        <v>0.32333333333333331</v>
      </c>
      <c r="O29" s="97">
        <f t="shared" ref="O29" si="13">N29+($P$29-$M$29)/3</f>
        <v>0.30666666666666664</v>
      </c>
      <c r="P29" s="265">
        <v>0.28999999999999998</v>
      </c>
      <c r="Q29" s="175">
        <f>P29-1.5%</f>
        <v>0.27499999999999997</v>
      </c>
    </row>
    <row r="30" spans="2:17" x14ac:dyDescent="0.3">
      <c r="B30" t="s">
        <v>145</v>
      </c>
      <c r="C30" s="269">
        <v>1.4999999999999999E-2</v>
      </c>
      <c r="F30" s="102"/>
      <c r="G30" s="104"/>
      <c r="H30" s="104"/>
      <c r="I30" s="104"/>
      <c r="J30" s="104"/>
      <c r="K30" s="105">
        <f t="shared" ref="K30:Q30" si="14">K29+$C$30</f>
        <v>0.36</v>
      </c>
      <c r="L30" s="105">
        <f t="shared" si="14"/>
        <v>0.36</v>
      </c>
      <c r="M30" s="105">
        <f t="shared" si="14"/>
        <v>0.35499999999999998</v>
      </c>
      <c r="N30" s="105">
        <f t="shared" si="14"/>
        <v>0.33833333333333332</v>
      </c>
      <c r="O30" s="105">
        <f t="shared" si="14"/>
        <v>0.32166666666666666</v>
      </c>
      <c r="P30" s="105">
        <f t="shared" si="14"/>
        <v>0.30499999999999999</v>
      </c>
      <c r="Q30" s="168">
        <f t="shared" si="14"/>
        <v>0.28999999999999998</v>
      </c>
    </row>
    <row r="31" spans="2:17" x14ac:dyDescent="0.3">
      <c r="C31" s="9"/>
      <c r="K31" s="12"/>
      <c r="L31" s="12"/>
      <c r="M31" s="12"/>
      <c r="N31" s="12"/>
      <c r="O31" s="12"/>
      <c r="P31" s="155"/>
      <c r="Q31" s="12"/>
    </row>
    <row r="32" spans="2:17" x14ac:dyDescent="0.3">
      <c r="B32" s="38" t="s">
        <v>149</v>
      </c>
      <c r="C32" s="9"/>
      <c r="G32" s="101">
        <f>-Model!H25/Model!H21</f>
        <v>0.23372908024603062</v>
      </c>
      <c r="H32" s="100">
        <f>-Model!I25/Model!I21</f>
        <v>0.22959870724481551</v>
      </c>
      <c r="I32" s="100">
        <f>-Model!J25/Model!J21</f>
        <v>0.22613065326633167</v>
      </c>
      <c r="J32" s="100">
        <f>-Model!K25/Model!K21</f>
        <v>0.22779043280182232</v>
      </c>
      <c r="K32" s="95">
        <f t="shared" ref="K32:P32" si="15">CHOOSE($E$4,K33,K34,K35)</f>
        <v>0.23</v>
      </c>
      <c r="L32" s="95">
        <f t="shared" si="15"/>
        <v>0.23</v>
      </c>
      <c r="M32" s="95">
        <f t="shared" si="15"/>
        <v>0.22800000000000001</v>
      </c>
      <c r="N32" s="95">
        <f t="shared" si="15"/>
        <v>0.22600000000000001</v>
      </c>
      <c r="O32" s="95">
        <f t="shared" si="15"/>
        <v>0.224</v>
      </c>
      <c r="P32" s="95">
        <f t="shared" si="15"/>
        <v>0.222</v>
      </c>
      <c r="Q32" s="169">
        <f t="shared" ref="Q32" si="16">CHOOSE($E$4,Q33,Q34,Q35)</f>
        <v>0.22</v>
      </c>
    </row>
    <row r="33" spans="2:17" x14ac:dyDescent="0.3">
      <c r="B33" t="s">
        <v>142</v>
      </c>
      <c r="C33" s="271">
        <v>-0.02</v>
      </c>
      <c r="F33" s="102"/>
      <c r="K33" s="97">
        <f t="shared" ref="K33:Q33" si="17">K34+$C$33</f>
        <v>0.21000000000000002</v>
      </c>
      <c r="L33" s="97">
        <f t="shared" si="17"/>
        <v>0.21000000000000002</v>
      </c>
      <c r="M33" s="97">
        <f t="shared" si="17"/>
        <v>0.20800000000000002</v>
      </c>
      <c r="N33" s="97">
        <f t="shared" si="17"/>
        <v>0.20600000000000002</v>
      </c>
      <c r="O33" s="97">
        <f t="shared" si="17"/>
        <v>0.20400000000000001</v>
      </c>
      <c r="P33" s="112">
        <f t="shared" si="17"/>
        <v>0.20200000000000001</v>
      </c>
      <c r="Q33" s="167">
        <f t="shared" si="17"/>
        <v>0.2</v>
      </c>
    </row>
    <row r="34" spans="2:17" x14ac:dyDescent="0.3">
      <c r="B34" t="s">
        <v>143</v>
      </c>
      <c r="C34" s="270" t="s">
        <v>144</v>
      </c>
      <c r="F34" s="102"/>
      <c r="K34" s="265">
        <v>0.23</v>
      </c>
      <c r="L34" s="265">
        <v>0.23</v>
      </c>
      <c r="M34" s="97">
        <f>L34+($Q$34-$L$34)/5</f>
        <v>0.22800000000000001</v>
      </c>
      <c r="N34" s="97">
        <f t="shared" ref="N34:P34" si="18">M34+($Q$34-$L$34)/5</f>
        <v>0.22600000000000001</v>
      </c>
      <c r="O34" s="97">
        <f t="shared" si="18"/>
        <v>0.224</v>
      </c>
      <c r="P34" s="97">
        <f t="shared" si="18"/>
        <v>0.222</v>
      </c>
      <c r="Q34" s="274">
        <v>0.22</v>
      </c>
    </row>
    <row r="35" spans="2:17" x14ac:dyDescent="0.3">
      <c r="B35" t="s">
        <v>145</v>
      </c>
      <c r="C35" s="269">
        <v>1.4999999999999999E-2</v>
      </c>
      <c r="F35" s="102"/>
      <c r="G35" s="104"/>
      <c r="H35" s="104"/>
      <c r="I35" s="104"/>
      <c r="J35" s="104"/>
      <c r="K35" s="105">
        <f t="shared" ref="K35:Q35" si="19">K34+$C$35</f>
        <v>0.245</v>
      </c>
      <c r="L35" s="105">
        <f t="shared" si="19"/>
        <v>0.245</v>
      </c>
      <c r="M35" s="105">
        <f t="shared" si="19"/>
        <v>0.24299999999999999</v>
      </c>
      <c r="N35" s="105">
        <f t="shared" si="19"/>
        <v>0.24099999999999999</v>
      </c>
      <c r="O35" s="105">
        <f t="shared" si="19"/>
        <v>0.23899999999999999</v>
      </c>
      <c r="P35" s="105">
        <f t="shared" si="19"/>
        <v>0.23699999999999999</v>
      </c>
      <c r="Q35" s="168">
        <f t="shared" si="19"/>
        <v>0.23499999999999999</v>
      </c>
    </row>
    <row r="36" spans="2:17" x14ac:dyDescent="0.3">
      <c r="C36" s="113"/>
      <c r="K36" s="112"/>
      <c r="L36" s="112"/>
      <c r="M36" s="112"/>
      <c r="N36" s="112"/>
      <c r="O36" s="112"/>
      <c r="P36" s="112"/>
      <c r="Q36" s="12"/>
    </row>
    <row r="37" spans="2:17" x14ac:dyDescent="0.3">
      <c r="B37" s="38" t="s">
        <v>150</v>
      </c>
      <c r="C37" t="s">
        <v>151</v>
      </c>
      <c r="G37" s="101">
        <f>Model!H28/Model!H21</f>
        <v>-2.1313116864540124E-2</v>
      </c>
      <c r="H37" s="100">
        <f>Model!I28/Model!I21</f>
        <v>-1.7506059789927284E-2</v>
      </c>
      <c r="I37" s="100">
        <f>Model!J28/Model!J21</f>
        <v>-1.1769373181697964E-2</v>
      </c>
      <c r="J37" s="100">
        <f>Model!K28/Model!K21</f>
        <v>-8.9776229398365274E-3</v>
      </c>
      <c r="K37" s="267">
        <v>1.0999999999999999E-2</v>
      </c>
      <c r="L37" s="96">
        <f>K37-($K$37-$Q$37)/6</f>
        <v>1.0833333333333334E-2</v>
      </c>
      <c r="M37" s="96">
        <f t="shared" ref="M37:P37" si="20">L37-($K$37-$Q$37)/6</f>
        <v>1.0666666666666668E-2</v>
      </c>
      <c r="N37" s="96">
        <f t="shared" si="20"/>
        <v>1.0500000000000002E-2</v>
      </c>
      <c r="O37" s="96">
        <f t="shared" si="20"/>
        <v>1.0333333333333337E-2</v>
      </c>
      <c r="P37" s="96">
        <f t="shared" si="20"/>
        <v>1.0166666666666671E-2</v>
      </c>
      <c r="Q37" s="266">
        <v>0.01</v>
      </c>
    </row>
    <row r="38" spans="2:17" x14ac:dyDescent="0.3">
      <c r="B38" s="38"/>
      <c r="C38" s="113"/>
      <c r="G38" s="114"/>
      <c r="H38" s="114"/>
      <c r="I38" s="114"/>
      <c r="J38" s="114"/>
      <c r="K38" s="268"/>
      <c r="L38" s="115"/>
      <c r="M38" s="115"/>
      <c r="N38" s="115"/>
      <c r="O38" s="115"/>
      <c r="P38" s="171"/>
      <c r="Q38" s="265"/>
    </row>
    <row r="39" spans="2:17" x14ac:dyDescent="0.3">
      <c r="B39" s="66" t="s">
        <v>152</v>
      </c>
      <c r="C39" t="s">
        <v>151</v>
      </c>
      <c r="G39" s="101">
        <f>Model!H32/Model!H21</f>
        <v>-6.8659705335431271E-3</v>
      </c>
      <c r="H39" s="100">
        <f>Model!I32/Model!I21</f>
        <v>-8.0797199030433614E-4</v>
      </c>
      <c r="I39" s="100">
        <f>Model!J32/Model!J21</f>
        <v>9.3890505157365779E-3</v>
      </c>
      <c r="J39" s="100">
        <f>Model!K32/Model!K21</f>
        <v>1.1389521640091117E-2</v>
      </c>
      <c r="K39" s="267">
        <v>0.01</v>
      </c>
      <c r="L39" s="96">
        <f>K39+($Q$39-$K$39)/6</f>
        <v>8.3333333333333332E-3</v>
      </c>
      <c r="M39" s="96">
        <f t="shared" ref="M39:P39" si="21">L39+($Q$39-$K$39)/6</f>
        <v>6.6666666666666662E-3</v>
      </c>
      <c r="N39" s="96">
        <f t="shared" si="21"/>
        <v>4.9999999999999992E-3</v>
      </c>
      <c r="O39" s="96">
        <f t="shared" si="21"/>
        <v>3.3333333333333322E-3</v>
      </c>
      <c r="P39" s="170">
        <f t="shared" si="21"/>
        <v>1.6666666666666655E-3</v>
      </c>
      <c r="Q39" s="266">
        <v>0</v>
      </c>
    </row>
    <row r="40" spans="2:17" x14ac:dyDescent="0.3">
      <c r="K40" s="31"/>
      <c r="L40" s="89"/>
      <c r="M40" s="89"/>
      <c r="N40" s="89"/>
      <c r="O40" s="89"/>
      <c r="P40" s="171"/>
      <c r="Q40" s="265"/>
    </row>
    <row r="41" spans="2:17" x14ac:dyDescent="0.3">
      <c r="B41" s="38" t="s">
        <v>153</v>
      </c>
      <c r="C41" t="s">
        <v>151</v>
      </c>
      <c r="G41" s="101">
        <f>'Cash Flow Statement'!C17/Model!H6</f>
        <v>6.9517951652124155E-2</v>
      </c>
      <c r="H41" s="100">
        <f>'Cash Flow Statement'!D17/Model!I6</f>
        <v>7.2178831133854024E-2</v>
      </c>
      <c r="I41" s="100">
        <f>'Cash Flow Statement'!E17/Model!J6</f>
        <v>5.3425019836022214E-2</v>
      </c>
      <c r="J41" s="100">
        <f>'Cash Flow Statement'!F17/Model!K6</f>
        <v>4.7701996516146324E-2</v>
      </c>
      <c r="K41" s="267">
        <v>0.05</v>
      </c>
      <c r="L41" s="96">
        <f>K41-($K$41-$Q$41)/6</f>
        <v>4.9166666666666671E-2</v>
      </c>
      <c r="M41" s="96">
        <f t="shared" ref="M41:P41" si="22">L41-($K$41-$Q$41)/6</f>
        <v>4.8333333333333339E-2</v>
      </c>
      <c r="N41" s="96">
        <f t="shared" si="22"/>
        <v>4.7500000000000007E-2</v>
      </c>
      <c r="O41" s="96">
        <f t="shared" si="22"/>
        <v>4.6666666666666676E-2</v>
      </c>
      <c r="P41" s="170">
        <f t="shared" si="22"/>
        <v>4.5833333333333344E-2</v>
      </c>
      <c r="Q41" s="266">
        <v>4.4999999999999998E-2</v>
      </c>
    </row>
    <row r="42" spans="2:17" x14ac:dyDescent="0.3">
      <c r="K42" s="31"/>
      <c r="L42" s="89"/>
      <c r="M42" s="89"/>
      <c r="N42" s="89"/>
      <c r="O42" s="89"/>
      <c r="P42" s="171"/>
      <c r="Q42" s="265"/>
    </row>
    <row r="43" spans="2:17" x14ac:dyDescent="0.3">
      <c r="B43" s="38" t="s">
        <v>154</v>
      </c>
      <c r="C43" t="s">
        <v>151</v>
      </c>
      <c r="G43" s="101">
        <f>('Cash Flow Statement'!C28/Model!H6)*-1</f>
        <v>2.6891717923043915E-2</v>
      </c>
      <c r="H43" s="100">
        <f>('Cash Flow Statement'!D28/Model!I6)*-1</f>
        <v>2.7875033665499597E-2</v>
      </c>
      <c r="I43" s="100">
        <f>('Cash Flow Statement'!E28/Model!J6)*-1</f>
        <v>2.6315789473684209E-2</v>
      </c>
      <c r="J43" s="100">
        <f>('Cash Flow Statement'!F28/Model!K6)*-1</f>
        <v>2.9612756264236904E-2</v>
      </c>
      <c r="K43" s="267">
        <v>0.03</v>
      </c>
      <c r="L43" s="96">
        <f>K43-($K$43-$Q$43)/6</f>
        <v>2.9166666666666667E-2</v>
      </c>
      <c r="M43" s="96">
        <f t="shared" ref="M43:P43" si="23">L43-($K$43-$Q$43)/6</f>
        <v>2.8333333333333335E-2</v>
      </c>
      <c r="N43" s="96">
        <f t="shared" si="23"/>
        <v>2.7500000000000004E-2</v>
      </c>
      <c r="O43" s="96">
        <f t="shared" si="23"/>
        <v>2.6666666666666672E-2</v>
      </c>
      <c r="P43" s="96">
        <f t="shared" si="23"/>
        <v>2.583333333333334E-2</v>
      </c>
      <c r="Q43" s="266">
        <v>2.5000000000000001E-2</v>
      </c>
    </row>
    <row r="44" spans="2:17" x14ac:dyDescent="0.3">
      <c r="B44" s="38"/>
      <c r="G44" s="114"/>
      <c r="H44" s="114"/>
      <c r="I44" s="114"/>
      <c r="J44" s="114"/>
      <c r="K44" s="268"/>
      <c r="L44" s="115"/>
      <c r="M44" s="115"/>
      <c r="N44" s="115"/>
      <c r="O44" s="115"/>
      <c r="P44" s="171"/>
      <c r="Q44" s="265"/>
    </row>
    <row r="45" spans="2:17" x14ac:dyDescent="0.3">
      <c r="B45" s="38" t="s">
        <v>155</v>
      </c>
      <c r="C45" t="s">
        <v>151</v>
      </c>
      <c r="G45" s="101">
        <f>'Cash Flow Statement'!C22/'Income Statement'!C16</f>
        <v>7.1091403232727793E-2</v>
      </c>
      <c r="H45" s="100">
        <f>'Cash Flow Statement'!D22/'Income Statement'!D16</f>
        <v>-1.6428763802854834E-2</v>
      </c>
      <c r="I45" s="100">
        <f>'Cash Flow Statement'!E22/'Income Statement'!E16</f>
        <v>-1.1504892885480032E-2</v>
      </c>
      <c r="J45" s="100">
        <f>'Cash Flow Statement'!F22/'Income Statement'!F16</f>
        <v>-1.5275358434945732E-2</v>
      </c>
      <c r="K45" s="267">
        <v>-0.01</v>
      </c>
      <c r="L45" s="96">
        <f>K45+($Q$45-$K$45)/6</f>
        <v>-6.6666666666666662E-3</v>
      </c>
      <c r="M45" s="96">
        <f t="shared" ref="M45:P45" si="24">L45+($Q$45-$K$45)/6</f>
        <v>-3.3333333333333327E-3</v>
      </c>
      <c r="N45" s="96">
        <f t="shared" si="24"/>
        <v>0</v>
      </c>
      <c r="O45" s="96">
        <f t="shared" si="24"/>
        <v>3.3333333333333335E-3</v>
      </c>
      <c r="P45" s="96">
        <f t="shared" si="24"/>
        <v>6.6666666666666671E-3</v>
      </c>
      <c r="Q45" s="266">
        <v>0.01</v>
      </c>
    </row>
    <row r="46" spans="2:17" x14ac:dyDescent="0.3">
      <c r="B46" s="38"/>
      <c r="G46" s="114"/>
      <c r="H46" s="114"/>
      <c r="I46" s="114"/>
      <c r="J46" s="114"/>
      <c r="K46" s="268"/>
      <c r="L46" s="115"/>
      <c r="M46" s="115"/>
      <c r="N46" s="115"/>
      <c r="O46" s="115"/>
      <c r="P46" s="171"/>
      <c r="Q46" s="265"/>
    </row>
    <row r="47" spans="2:17" x14ac:dyDescent="0.3">
      <c r="B47" s="38" t="s">
        <v>156</v>
      </c>
      <c r="C47" t="s">
        <v>151</v>
      </c>
      <c r="G47" s="101">
        <f>SUM('Cash Flow Statement'!C23,'Cash Flow Statement'!C24,'Cash Flow Statement'!C25)/'Income Statement'!C16</f>
        <v>-4.5344013731941066E-2</v>
      </c>
      <c r="H47" s="100">
        <f>SUM('Cash Flow Statement'!D23,'Cash Flow Statement'!D24,'Cash Flow Statement'!D25)/'Income Statement'!D16</f>
        <v>-4.3630487476434152E-2</v>
      </c>
      <c r="I47" s="100">
        <f>SUM('Cash Flow Statement'!E23,'Cash Flow Statement'!E24,'Cash Flow Statement'!E25)/'Income Statement'!E16</f>
        <v>3.0415234065062153E-2</v>
      </c>
      <c r="J47" s="100">
        <f>SUM('Cash Flow Statement'!F23,'Cash Flow Statement'!F24,'Cash Flow Statement'!F25)/'Income Statement'!F16</f>
        <v>-1.3399437223636607E-4</v>
      </c>
      <c r="K47" s="267">
        <v>-5.0000000000000001E-3</v>
      </c>
      <c r="L47" s="96">
        <f>K47+($Q$47-$K$47)/6</f>
        <v>-4.1666666666666666E-3</v>
      </c>
      <c r="M47" s="96">
        <f t="shared" ref="M47:P47" si="25">L47+($Q$47-$K$47)/6</f>
        <v>-3.3333333333333331E-3</v>
      </c>
      <c r="N47" s="96">
        <f t="shared" si="25"/>
        <v>-2.4999999999999996E-3</v>
      </c>
      <c r="O47" s="96">
        <f t="shared" si="25"/>
        <v>-1.6666666666666661E-3</v>
      </c>
      <c r="P47" s="170">
        <f t="shared" si="25"/>
        <v>-8.3333333333333274E-4</v>
      </c>
      <c r="Q47" s="266">
        <v>0</v>
      </c>
    </row>
    <row r="48" spans="2:17" x14ac:dyDescent="0.3">
      <c r="B48" s="38"/>
      <c r="G48" s="114"/>
      <c r="H48" s="114"/>
      <c r="I48" s="114"/>
      <c r="J48" s="114"/>
      <c r="K48" s="268"/>
      <c r="L48" s="115"/>
      <c r="M48" s="115"/>
      <c r="N48" s="115"/>
      <c r="O48" s="115"/>
      <c r="P48" s="171"/>
      <c r="Q48" s="265"/>
    </row>
    <row r="49" spans="1:18" x14ac:dyDescent="0.3">
      <c r="B49" s="38" t="s">
        <v>157</v>
      </c>
      <c r="C49" t="s">
        <v>158</v>
      </c>
      <c r="G49" s="101">
        <f>'Cash Flow Statement'!C18/Model!H22*-1</f>
        <v>0.2857142857142857</v>
      </c>
      <c r="H49" s="100">
        <f>'Cash Flow Statement'!D18/Model!I22*-1</f>
        <v>0.30786516853932583</v>
      </c>
      <c r="I49" s="100">
        <f>'Cash Flow Statement'!E18/Model!J22*-1</f>
        <v>0.34494979326639102</v>
      </c>
      <c r="J49" s="100">
        <f>'Cash Flow Statement'!F18/Model!K22*-1</f>
        <v>0.41607258587167856</v>
      </c>
      <c r="K49" s="267">
        <v>0.4</v>
      </c>
      <c r="L49" s="96">
        <f>K49-1.5%</f>
        <v>0.38500000000000001</v>
      </c>
      <c r="M49" s="96">
        <f>L49-(L49-$Q$49)/5</f>
        <v>0.372</v>
      </c>
      <c r="N49" s="96">
        <f t="shared" ref="N49:P49" si="26">M49-(M49-$Q$49)/5</f>
        <v>0.36159999999999998</v>
      </c>
      <c r="O49" s="96">
        <f t="shared" si="26"/>
        <v>0.35327999999999998</v>
      </c>
      <c r="P49" s="96">
        <f t="shared" si="26"/>
        <v>0.34662399999999999</v>
      </c>
      <c r="Q49" s="266">
        <v>0.32</v>
      </c>
    </row>
    <row r="51" spans="1:18" x14ac:dyDescent="0.3">
      <c r="B51" s="38" t="s">
        <v>159</v>
      </c>
    </row>
    <row r="52" spans="1:18" x14ac:dyDescent="0.3">
      <c r="B52" t="s">
        <v>160</v>
      </c>
      <c r="C52" t="s">
        <v>161</v>
      </c>
      <c r="H52" s="293">
        <f>'Balance Sheet'!D18/'Income Statement'!D16*365</f>
        <v>33.619714516563427</v>
      </c>
      <c r="I52" s="294">
        <f>'Balance Sheet'!E18/'Income Statement'!E16*365</f>
        <v>27.271224543771488</v>
      </c>
      <c r="J52" s="294">
        <f>'Balance Sheet'!F18/'Income Statement'!F16*365</f>
        <v>33.208495243199785</v>
      </c>
      <c r="K52" s="314">
        <v>32</v>
      </c>
      <c r="L52" s="315">
        <f>K52-($K$52-$Q$52)/6</f>
        <v>31.083333333333332</v>
      </c>
      <c r="M52" s="315">
        <f t="shared" ref="M52:P52" si="27">L52-($K$52-$Q$52)/6</f>
        <v>30.166666666666664</v>
      </c>
      <c r="N52" s="315">
        <f t="shared" si="27"/>
        <v>29.249999999999996</v>
      </c>
      <c r="O52" s="315">
        <f t="shared" si="27"/>
        <v>28.333333333333329</v>
      </c>
      <c r="P52" s="315">
        <f t="shared" si="27"/>
        <v>27.416666666666661</v>
      </c>
      <c r="Q52" s="316">
        <v>26.5</v>
      </c>
    </row>
    <row r="53" spans="1:18" x14ac:dyDescent="0.3">
      <c r="B53" t="s">
        <v>162</v>
      </c>
      <c r="C53" t="s">
        <v>161</v>
      </c>
      <c r="H53" s="296">
        <f>'Balance Sheet'!D30/(-Model!I22)*365</f>
        <v>20.30056179775281</v>
      </c>
      <c r="I53" s="317">
        <f>'Balance Sheet'!E30/(-Model!J22)*365</f>
        <v>23.715298287064382</v>
      </c>
      <c r="J53" s="317">
        <f>'Balance Sheet'!F30/(-Model!K22)*365</f>
        <v>24.83797796500324</v>
      </c>
      <c r="K53" s="318">
        <v>25</v>
      </c>
      <c r="L53" s="319">
        <f>K53+($Q$53-$K$53)/6</f>
        <v>25.416666666666668</v>
      </c>
      <c r="M53" s="319">
        <f t="shared" ref="M53:P53" si="28">L53+($Q$53-$K$53)/6</f>
        <v>25.833333333333336</v>
      </c>
      <c r="N53" s="319">
        <f t="shared" si="28"/>
        <v>26.250000000000004</v>
      </c>
      <c r="O53" s="319">
        <f t="shared" si="28"/>
        <v>26.666666666666671</v>
      </c>
      <c r="P53" s="319">
        <f t="shared" si="28"/>
        <v>27.083333333333339</v>
      </c>
      <c r="Q53" s="320">
        <v>27.5</v>
      </c>
    </row>
    <row r="54" spans="1:18" x14ac:dyDescent="0.3">
      <c r="B54" t="s">
        <v>163</v>
      </c>
      <c r="C54" t="s">
        <v>158</v>
      </c>
      <c r="H54" s="298">
        <f>'Balance Sheet'!D19/Model!I22*-1</f>
        <v>5.8988764044943819E-2</v>
      </c>
      <c r="I54" s="114">
        <f>'Balance Sheet'!E19/Model!J22*-1</f>
        <v>5.7885410513880686E-2</v>
      </c>
      <c r="J54" s="114">
        <f>'Balance Sheet'!F19/Model!K22*-1</f>
        <v>3.5644847699287101E-2</v>
      </c>
      <c r="K54" s="268">
        <v>4.4999999999999998E-2</v>
      </c>
      <c r="L54" s="112">
        <f>K54-($K$54-$Q$54)/6</f>
        <v>4.2499999999999996E-2</v>
      </c>
      <c r="M54" s="112">
        <f t="shared" ref="M54:P54" si="29">L54-($K$54-$Q$54)/6</f>
        <v>3.9999999999999994E-2</v>
      </c>
      <c r="N54" s="112">
        <f t="shared" si="29"/>
        <v>3.7499999999999992E-2</v>
      </c>
      <c r="O54" s="112">
        <f t="shared" si="29"/>
        <v>3.4999999999999989E-2</v>
      </c>
      <c r="P54" s="112">
        <f t="shared" si="29"/>
        <v>3.2499999999999987E-2</v>
      </c>
      <c r="Q54" s="321">
        <v>0.03</v>
      </c>
    </row>
    <row r="55" spans="1:18" x14ac:dyDescent="0.3">
      <c r="B55" t="s">
        <v>164</v>
      </c>
      <c r="C55" t="s">
        <v>151</v>
      </c>
      <c r="H55" s="298">
        <f>'Balance Sheet'!D31/Model!I21</f>
        <v>0.13816321034204149</v>
      </c>
      <c r="I55" s="114">
        <f>'Balance Sheet'!E31/Model!J21</f>
        <v>0.12576038085162655</v>
      </c>
      <c r="J55" s="114">
        <f>'Balance Sheet'!F31/Model!K21</f>
        <v>0.13520032158649337</v>
      </c>
      <c r="K55" s="268">
        <v>0.13500000000000001</v>
      </c>
      <c r="L55" s="112">
        <f>K55-($K$55-$Q$55)/6</f>
        <v>0.13333333333333333</v>
      </c>
      <c r="M55" s="112">
        <f t="shared" ref="M55:P55" si="30">L55-($K$55-$Q$55)/6</f>
        <v>0.13166666666666665</v>
      </c>
      <c r="N55" s="112">
        <f t="shared" si="30"/>
        <v>0.12999999999999998</v>
      </c>
      <c r="O55" s="112">
        <f t="shared" si="30"/>
        <v>0.1283333333333333</v>
      </c>
      <c r="P55" s="112">
        <f t="shared" si="30"/>
        <v>0.12666666666666662</v>
      </c>
      <c r="Q55" s="321">
        <v>0.125</v>
      </c>
    </row>
    <row r="56" spans="1:18" x14ac:dyDescent="0.3">
      <c r="B56" t="s">
        <v>165</v>
      </c>
      <c r="C56" t="s">
        <v>151</v>
      </c>
      <c r="H56" s="298">
        <f>'Balance Sheet'!D33/Model!I21</f>
        <v>0.25599245892809047</v>
      </c>
      <c r="I56" s="114">
        <f>'Balance Sheet'!E33/Model!J21</f>
        <v>0.23988362866966412</v>
      </c>
      <c r="J56" s="114">
        <f>'Balance Sheet'!F33/Model!K21</f>
        <v>0.22779043280182232</v>
      </c>
      <c r="K56" s="268">
        <v>0.23499999999999999</v>
      </c>
      <c r="L56" s="112">
        <f>K56-($K$56-$Q$56)/6</f>
        <v>0.23383333333333334</v>
      </c>
      <c r="M56" s="112">
        <f t="shared" ref="M56:P56" si="31">L56-($K$56-$Q$56)/6</f>
        <v>0.23266666666666669</v>
      </c>
      <c r="N56" s="112">
        <f t="shared" si="31"/>
        <v>0.23150000000000004</v>
      </c>
      <c r="O56" s="112">
        <f t="shared" si="31"/>
        <v>0.23033333333333339</v>
      </c>
      <c r="P56" s="112">
        <f t="shared" si="31"/>
        <v>0.22916666666666674</v>
      </c>
      <c r="Q56" s="321">
        <v>0.22800000000000001</v>
      </c>
    </row>
    <row r="57" spans="1:18" x14ac:dyDescent="0.3">
      <c r="B57" t="s">
        <v>166</v>
      </c>
      <c r="C57" t="s">
        <v>151</v>
      </c>
      <c r="H57" s="298">
        <f>'Balance Sheet'!D35/Model!I21</f>
        <v>1.2119579854565042E-2</v>
      </c>
      <c r="I57" s="114">
        <f>'Balance Sheet'!E35/Model!J21</f>
        <v>1.190161332980693E-2</v>
      </c>
      <c r="J57" s="114">
        <f>'Balance Sheet'!F35/Model!K21</f>
        <v>1.125552726785475E-2</v>
      </c>
      <c r="K57" s="268">
        <v>1.2500000000000001E-2</v>
      </c>
      <c r="L57" s="115">
        <f>K57-($K$57-$Q$57)/6</f>
        <v>1.2083333333333335E-2</v>
      </c>
      <c r="M57" s="115">
        <f t="shared" ref="M57:P57" si="32">L57-($K$57-$Q$57)/6</f>
        <v>1.1666666666666669E-2</v>
      </c>
      <c r="N57" s="115">
        <f t="shared" si="32"/>
        <v>1.1250000000000003E-2</v>
      </c>
      <c r="O57" s="115">
        <f t="shared" si="32"/>
        <v>1.0833333333333337E-2</v>
      </c>
      <c r="P57" s="115">
        <f t="shared" si="32"/>
        <v>1.0416666666666671E-2</v>
      </c>
      <c r="Q57" s="322">
        <v>0.01</v>
      </c>
    </row>
    <row r="58" spans="1:18" x14ac:dyDescent="0.3">
      <c r="B58" t="s">
        <v>167</v>
      </c>
      <c r="C58" t="s">
        <v>151</v>
      </c>
      <c r="H58" s="300">
        <f>'Balance Sheet'!D20/Model!I21</f>
        <v>5.5615405332615137E-2</v>
      </c>
      <c r="I58" s="301">
        <f>'Balance Sheet'!E20/Model!J21</f>
        <v>4.2581327691087016E-2</v>
      </c>
      <c r="J58" s="301">
        <f>'Balance Sheet'!F20/Model!K21</f>
        <v>3.9394345437491624E-2</v>
      </c>
      <c r="K58" s="323">
        <v>4.4999999999999998E-2</v>
      </c>
      <c r="L58" s="324">
        <f>K58-($K$58-$Q$58)/6</f>
        <v>4.3999999999999997E-2</v>
      </c>
      <c r="M58" s="324">
        <f t="shared" ref="M58:P58" si="33">L58-($K$58-$Q$58)/6</f>
        <v>4.2999999999999997E-2</v>
      </c>
      <c r="N58" s="324">
        <f t="shared" si="33"/>
        <v>4.1999999999999996E-2</v>
      </c>
      <c r="O58" s="324">
        <f t="shared" si="33"/>
        <v>4.0999999999999995E-2</v>
      </c>
      <c r="P58" s="324">
        <f t="shared" si="33"/>
        <v>3.9999999999999994E-2</v>
      </c>
      <c r="Q58" s="325">
        <v>3.9E-2</v>
      </c>
    </row>
    <row r="60" spans="1:18" x14ac:dyDescent="0.3">
      <c r="H60" s="98"/>
      <c r="I60" s="98"/>
      <c r="J60" s="98"/>
      <c r="K60" s="109"/>
      <c r="L60" s="97"/>
      <c r="M60" s="97"/>
      <c r="N60" s="97"/>
      <c r="O60" s="97"/>
      <c r="P60" s="106"/>
    </row>
    <row r="61" spans="1:18" ht="15.6" x14ac:dyDescent="0.3">
      <c r="A61" s="76" t="s">
        <v>135</v>
      </c>
      <c r="B61" s="85" t="s">
        <v>168</v>
      </c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</row>
    <row r="63" spans="1:18" ht="15" thickBot="1" x14ac:dyDescent="0.35">
      <c r="H63" s="61">
        <v>2023</v>
      </c>
      <c r="I63" s="61">
        <v>2024</v>
      </c>
      <c r="J63" s="64">
        <v>2025</v>
      </c>
      <c r="K63" s="73">
        <f t="shared" ref="K63" si="34">J63+1</f>
        <v>2026</v>
      </c>
      <c r="L63" s="73">
        <f t="shared" ref="L63" si="35">K63+1</f>
        <v>2027</v>
      </c>
      <c r="M63" s="73">
        <f t="shared" ref="M63" si="36">L63+1</f>
        <v>2028</v>
      </c>
      <c r="N63" s="73">
        <f t="shared" ref="N63" si="37">M63+1</f>
        <v>2029</v>
      </c>
      <c r="O63" s="73">
        <f t="shared" ref="O63" si="38">N63+1</f>
        <v>2030</v>
      </c>
      <c r="P63" s="73">
        <f t="shared" ref="P63" si="39">O63+1</f>
        <v>2031</v>
      </c>
      <c r="Q63" s="73">
        <f>P63+1</f>
        <v>2032</v>
      </c>
    </row>
    <row r="64" spans="1:18" ht="15" thickBot="1" x14ac:dyDescent="0.35"/>
    <row r="65" spans="2:17" ht="15" thickBot="1" x14ac:dyDescent="0.35">
      <c r="B65" s="38" t="s">
        <v>169</v>
      </c>
      <c r="H65" s="262">
        <v>0.05</v>
      </c>
      <c r="I65" s="263">
        <v>4.7500000000000001E-2</v>
      </c>
      <c r="J65" s="263">
        <v>0.05</v>
      </c>
      <c r="K65" s="263">
        <v>4.4999999999999998E-2</v>
      </c>
      <c r="L65" s="263">
        <v>0.04</v>
      </c>
      <c r="M65" s="263">
        <v>3.5000000000000003E-2</v>
      </c>
      <c r="N65" s="263">
        <v>3.5000000000000003E-2</v>
      </c>
      <c r="O65" s="263">
        <v>3.5000000000000003E-2</v>
      </c>
      <c r="P65" s="263">
        <v>2.75E-2</v>
      </c>
      <c r="Q65" s="264">
        <v>2.5000000000000001E-2</v>
      </c>
    </row>
    <row r="67" spans="2:17" ht="15" thickBot="1" x14ac:dyDescent="0.35">
      <c r="B67" s="38" t="s">
        <v>14</v>
      </c>
    </row>
    <row r="68" spans="2:17" ht="15" thickBot="1" x14ac:dyDescent="0.35">
      <c r="B68" t="s">
        <v>130</v>
      </c>
      <c r="D68" s="90">
        <f>'Transaction Details'!I36</f>
        <v>200</v>
      </c>
      <c r="H68" s="92"/>
      <c r="I68" s="93"/>
      <c r="J68" s="93"/>
      <c r="K68" s="110">
        <f t="shared" ref="K68:Q68" si="40">K65+($D$68/100)%</f>
        <v>6.5000000000000002E-2</v>
      </c>
      <c r="L68" s="110">
        <f t="shared" si="40"/>
        <v>0.06</v>
      </c>
      <c r="M68" s="110">
        <f t="shared" si="40"/>
        <v>5.5000000000000007E-2</v>
      </c>
      <c r="N68" s="110">
        <f t="shared" si="40"/>
        <v>5.5000000000000007E-2</v>
      </c>
      <c r="O68" s="110">
        <f t="shared" si="40"/>
        <v>5.5000000000000007E-2</v>
      </c>
      <c r="P68" s="110">
        <f t="shared" si="40"/>
        <v>4.7500000000000001E-2</v>
      </c>
      <c r="Q68" s="172">
        <f t="shared" si="40"/>
        <v>4.4999999999999998E-2</v>
      </c>
    </row>
    <row r="70" spans="2:17" ht="15" thickBot="1" x14ac:dyDescent="0.35">
      <c r="B70" s="38" t="s">
        <v>86</v>
      </c>
    </row>
    <row r="71" spans="2:17" ht="15" thickBot="1" x14ac:dyDescent="0.35">
      <c r="B71" t="s">
        <v>130</v>
      </c>
      <c r="D71" s="90">
        <f>'Transaction Details'!I37</f>
        <v>225</v>
      </c>
      <c r="H71" s="92"/>
      <c r="I71" s="93"/>
      <c r="J71" s="93"/>
      <c r="K71" s="110">
        <f t="shared" ref="K71:Q71" si="41">K65+($D$71/100)%</f>
        <v>6.7500000000000004E-2</v>
      </c>
      <c r="L71" s="110">
        <f t="shared" si="41"/>
        <v>6.25E-2</v>
      </c>
      <c r="M71" s="110">
        <f t="shared" si="41"/>
        <v>5.7500000000000002E-2</v>
      </c>
      <c r="N71" s="110">
        <f t="shared" si="41"/>
        <v>5.7500000000000002E-2</v>
      </c>
      <c r="O71" s="110">
        <f t="shared" si="41"/>
        <v>5.7500000000000002E-2</v>
      </c>
      <c r="P71" s="110">
        <f t="shared" si="41"/>
        <v>0.05</v>
      </c>
      <c r="Q71" s="111">
        <f t="shared" si="41"/>
        <v>4.7500000000000001E-2</v>
      </c>
    </row>
    <row r="72" spans="2:17" x14ac:dyDescent="0.3">
      <c r="Q72" s="89"/>
    </row>
    <row r="73" spans="2:17" ht="15" thickBot="1" x14ac:dyDescent="0.35">
      <c r="B73" s="38" t="s">
        <v>20</v>
      </c>
      <c r="Q73" s="89"/>
    </row>
    <row r="74" spans="2:17" ht="15" thickBot="1" x14ac:dyDescent="0.35">
      <c r="B74" t="s">
        <v>130</v>
      </c>
      <c r="D74" s="90">
        <f>'Transaction Details'!I38</f>
        <v>275</v>
      </c>
      <c r="H74" s="92"/>
      <c r="I74" s="93"/>
      <c r="J74" s="93"/>
      <c r="K74" s="110">
        <f t="shared" ref="K74:Q74" si="42">K65+($D$74/100)%</f>
        <v>7.2499999999999995E-2</v>
      </c>
      <c r="L74" s="110">
        <f t="shared" si="42"/>
        <v>6.7500000000000004E-2</v>
      </c>
      <c r="M74" s="110">
        <f t="shared" si="42"/>
        <v>6.25E-2</v>
      </c>
      <c r="N74" s="110">
        <f t="shared" si="42"/>
        <v>6.25E-2</v>
      </c>
      <c r="O74" s="110">
        <f t="shared" si="42"/>
        <v>6.25E-2</v>
      </c>
      <c r="P74" s="110">
        <f t="shared" si="42"/>
        <v>5.5E-2</v>
      </c>
      <c r="Q74" s="111">
        <f t="shared" si="42"/>
        <v>5.2500000000000005E-2</v>
      </c>
    </row>
    <row r="76" spans="2:17" ht="15" thickBot="1" x14ac:dyDescent="0.35">
      <c r="B76" s="38" t="s">
        <v>89</v>
      </c>
      <c r="Q76" s="89"/>
    </row>
    <row r="77" spans="2:17" ht="15" thickBot="1" x14ac:dyDescent="0.35">
      <c r="B77" t="s">
        <v>130</v>
      </c>
      <c r="D77" s="90">
        <f>'Transaction Details'!I41</f>
        <v>275</v>
      </c>
      <c r="H77" s="92"/>
      <c r="I77" s="93"/>
      <c r="J77" s="93"/>
      <c r="K77" s="93"/>
      <c r="L77" s="93"/>
      <c r="M77" s="93"/>
      <c r="N77" s="110">
        <f>N65+($D$77/100)%</f>
        <v>6.25E-2</v>
      </c>
      <c r="O77" s="110">
        <f>O65+($D$77/100)%</f>
        <v>6.25E-2</v>
      </c>
      <c r="P77" s="110">
        <f>P65+($D$77/100)%</f>
        <v>5.5E-2</v>
      </c>
      <c r="Q77" s="111">
        <f>Q65+($D$77/100)%</f>
        <v>5.2500000000000005E-2</v>
      </c>
    </row>
  </sheetData>
  <dataValidations disablePrompts="1" count="1">
    <dataValidation type="list" allowBlank="1" showInputMessage="1" showErrorMessage="1" sqref="E4" xr:uid="{8CB86BA8-7B01-4350-940B-5C2BF7277FBF}">
      <formula1>"1,2,3"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897E0-6D82-4FD0-B580-1981188196CD}">
  <dimension ref="A1:V303"/>
  <sheetViews>
    <sheetView showGridLines="0" topLeftCell="A230" zoomScaleNormal="100" workbookViewId="0">
      <selection activeCell="O257" sqref="O257"/>
    </sheetView>
  </sheetViews>
  <sheetFormatPr defaultColWidth="9.109375" defaultRowHeight="14.4" x14ac:dyDescent="0.3"/>
  <cols>
    <col min="1" max="1" width="9.44140625" customWidth="1"/>
    <col min="2" max="2" width="26.109375" bestFit="1" customWidth="1"/>
    <col min="3" max="6" width="10.44140625" bestFit="1" customWidth="1"/>
    <col min="8" max="8" width="10.109375" bestFit="1" customWidth="1"/>
    <col min="9" max="10" width="9.6640625" bestFit="1" customWidth="1"/>
    <col min="11" max="11" width="11.109375" bestFit="1" customWidth="1"/>
    <col min="12" max="18" width="11.33203125" customWidth="1"/>
  </cols>
  <sheetData>
    <row r="1" spans="1:22" ht="18" x14ac:dyDescent="0.35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</row>
    <row r="2" spans="1:22" ht="18" x14ac:dyDescent="0.35">
      <c r="A2" s="60" t="s">
        <v>135</v>
      </c>
      <c r="B2" s="62" t="s">
        <v>170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150"/>
    </row>
    <row r="4" spans="1:22" ht="15" thickBot="1" x14ac:dyDescent="0.35">
      <c r="A4" s="14"/>
      <c r="B4" s="3" t="s">
        <v>7</v>
      </c>
      <c r="H4" s="61">
        <v>2022</v>
      </c>
      <c r="I4" s="61">
        <v>2023</v>
      </c>
      <c r="J4" s="61">
        <v>2024</v>
      </c>
      <c r="K4" s="64">
        <v>2025</v>
      </c>
      <c r="L4" s="73">
        <f t="shared" ref="L4" si="0">K4+1</f>
        <v>2026</v>
      </c>
      <c r="M4" s="73">
        <f t="shared" ref="M4" si="1">L4+1</f>
        <v>2027</v>
      </c>
      <c r="N4" s="73">
        <f t="shared" ref="N4" si="2">M4+1</f>
        <v>2028</v>
      </c>
      <c r="O4" s="73">
        <f t="shared" ref="O4" si="3">N4+1</f>
        <v>2029</v>
      </c>
      <c r="P4" s="73">
        <f t="shared" ref="P4" si="4">O4+1</f>
        <v>2030</v>
      </c>
      <c r="Q4" s="73">
        <f t="shared" ref="Q4" si="5">P4+1</f>
        <v>2031</v>
      </c>
      <c r="R4" s="73">
        <f>Q4+1</f>
        <v>2032</v>
      </c>
    </row>
    <row r="5" spans="1:22" x14ac:dyDescent="0.3">
      <c r="A5" s="14"/>
      <c r="B5" s="14"/>
    </row>
    <row r="6" spans="1:22" x14ac:dyDescent="0.3">
      <c r="A6" s="14"/>
      <c r="B6" s="19" t="s">
        <v>174</v>
      </c>
      <c r="H6" s="8">
        <v>6991</v>
      </c>
      <c r="I6" s="8">
        <v>7426</v>
      </c>
      <c r="J6" s="8">
        <v>7562</v>
      </c>
      <c r="K6" s="8">
        <v>7463</v>
      </c>
      <c r="L6" s="8">
        <f t="shared" ref="L6:Q6" si="6">L11+L14</f>
        <v>7821.5800000000008</v>
      </c>
      <c r="M6" s="8">
        <f t="shared" si="6"/>
        <v>8411.9334000000017</v>
      </c>
      <c r="N6" s="8">
        <f>N11+N14</f>
        <v>8610.5570720000014</v>
      </c>
      <c r="O6" s="8">
        <f t="shared" si="6"/>
        <v>9024.5969296600015</v>
      </c>
      <c r="P6" s="8">
        <f t="shared" si="6"/>
        <v>9566.5222889587003</v>
      </c>
      <c r="Q6" s="8">
        <f t="shared" si="6"/>
        <v>9815.9858307271934</v>
      </c>
      <c r="R6" s="8">
        <f t="shared" ref="R6" si="7">R11+R14</f>
        <v>10306.785122263553</v>
      </c>
    </row>
    <row r="7" spans="1:22" x14ac:dyDescent="0.3">
      <c r="A7" s="14"/>
      <c r="B7" t="s">
        <v>171</v>
      </c>
      <c r="H7" s="89">
        <f>H6/5629-1</f>
        <v>0.24196127198436668</v>
      </c>
      <c r="I7" s="89">
        <f>I6/H6-1</f>
        <v>6.2222857960234634E-2</v>
      </c>
      <c r="J7" s="65">
        <f t="shared" ref="J7:R7" si="8">(J6/I6)-1</f>
        <v>1.8314031780231721E-2</v>
      </c>
      <c r="K7" s="65">
        <f t="shared" si="8"/>
        <v>-1.3091774662787659E-2</v>
      </c>
      <c r="L7" s="89">
        <f t="shared" si="8"/>
        <v>4.8047701996516201E-2</v>
      </c>
      <c r="M7" s="89">
        <f t="shared" si="8"/>
        <v>7.5477512216201914E-2</v>
      </c>
      <c r="N7" s="89">
        <f t="shared" si="8"/>
        <v>2.3612130833085221E-2</v>
      </c>
      <c r="O7" s="89">
        <f t="shared" si="8"/>
        <v>4.8085141785585872E-2</v>
      </c>
      <c r="P7" s="89">
        <f t="shared" si="8"/>
        <v>6.0049813140974795E-2</v>
      </c>
      <c r="Q7" s="89">
        <f t="shared" si="8"/>
        <v>2.6076721951133086E-2</v>
      </c>
      <c r="R7" s="89">
        <f t="shared" si="8"/>
        <v>5.0000000000000044E-2</v>
      </c>
    </row>
    <row r="8" spans="1:22" x14ac:dyDescent="0.3">
      <c r="A8" s="14"/>
      <c r="B8" s="14"/>
    </row>
    <row r="9" spans="1:22" x14ac:dyDescent="0.3">
      <c r="A9" s="14"/>
      <c r="B9" s="14" t="s">
        <v>172</v>
      </c>
      <c r="V9" s="163"/>
    </row>
    <row r="10" spans="1:22" x14ac:dyDescent="0.3">
      <c r="A10" s="14"/>
      <c r="V10" s="163"/>
    </row>
    <row r="11" spans="1:22" x14ac:dyDescent="0.3">
      <c r="A11" s="14"/>
      <c r="B11" s="19" t="s">
        <v>141</v>
      </c>
      <c r="C11" s="14"/>
      <c r="D11" s="14"/>
      <c r="E11" s="14"/>
      <c r="F11" s="14"/>
      <c r="H11" s="8">
        <v>1993</v>
      </c>
      <c r="I11" s="8">
        <v>1937</v>
      </c>
      <c r="J11" s="8">
        <v>2015</v>
      </c>
      <c r="K11" s="8">
        <v>2002</v>
      </c>
      <c r="L11" s="83">
        <f>K11*(1+'Inputs and Driver'!K10)</f>
        <v>2142.1400000000003</v>
      </c>
      <c r="M11" s="83">
        <f>L11*(1+'Inputs and Driver'!L10)</f>
        <v>2334.9326000000005</v>
      </c>
      <c r="N11" s="83">
        <f>M11*(1+'Inputs and Driver'!M10)</f>
        <v>2381.6312520000006</v>
      </c>
      <c r="O11" s="83">
        <f>N11*(1+'Inputs and Driver'!N10)</f>
        <v>2453.0801895600007</v>
      </c>
      <c r="P11" s="83">
        <f>O11*(1+'Inputs and Driver'!O10)</f>
        <v>2502.1417933512007</v>
      </c>
      <c r="Q11" s="83">
        <f>P11*(1+'Inputs and Driver'!P10)</f>
        <v>2539.6739202514686</v>
      </c>
      <c r="R11" s="83">
        <f>Q11*(1+'Inputs and Driver'!Q10)</f>
        <v>2666.6576162640422</v>
      </c>
    </row>
    <row r="12" spans="1:22" x14ac:dyDescent="0.3">
      <c r="B12" t="s">
        <v>171</v>
      </c>
      <c r="H12" s="89">
        <f>H11/1613-1</f>
        <v>0.23558586484810906</v>
      </c>
      <c r="I12" s="89">
        <f>I11/H11-1</f>
        <v>-2.8098344204716463E-2</v>
      </c>
      <c r="J12" s="65">
        <f t="shared" ref="J12:R12" si="9">(J11/I11)-1</f>
        <v>4.0268456375838868E-2</v>
      </c>
      <c r="K12" s="65">
        <f t="shared" si="9"/>
        <v>-6.4516129032258229E-3</v>
      </c>
      <c r="L12" s="89">
        <f t="shared" si="9"/>
        <v>7.0000000000000062E-2</v>
      </c>
      <c r="M12" s="89">
        <f t="shared" si="9"/>
        <v>9.000000000000008E-2</v>
      </c>
      <c r="N12" s="89">
        <f t="shared" si="9"/>
        <v>2.0000000000000018E-2</v>
      </c>
      <c r="O12" s="89">
        <f t="shared" si="9"/>
        <v>3.0000000000000027E-2</v>
      </c>
      <c r="P12" s="89">
        <f t="shared" si="9"/>
        <v>2.0000000000000018E-2</v>
      </c>
      <c r="Q12" s="89">
        <f t="shared" si="9"/>
        <v>1.4999999999999902E-2</v>
      </c>
      <c r="R12" s="89">
        <f t="shared" si="9"/>
        <v>5.0000000000000044E-2</v>
      </c>
    </row>
    <row r="13" spans="1:22" x14ac:dyDescent="0.3">
      <c r="A13" s="14"/>
      <c r="B13" s="17"/>
      <c r="C13" s="17"/>
      <c r="D13" s="17"/>
      <c r="E13" s="17"/>
      <c r="V13" s="163"/>
    </row>
    <row r="14" spans="1:22" x14ac:dyDescent="0.3">
      <c r="A14" s="14"/>
      <c r="B14" s="19" t="s">
        <v>146</v>
      </c>
      <c r="C14" s="18"/>
      <c r="D14" s="18"/>
      <c r="E14" s="18"/>
      <c r="H14" s="8">
        <v>4998</v>
      </c>
      <c r="I14" s="8">
        <v>5489</v>
      </c>
      <c r="J14" s="8">
        <v>5547</v>
      </c>
      <c r="K14" s="8">
        <v>5461</v>
      </c>
      <c r="L14" s="83">
        <f>K14*(1+'Inputs and Driver'!K15)</f>
        <v>5679.4400000000005</v>
      </c>
      <c r="M14" s="83">
        <f>L14*(1+'Inputs and Driver'!L15)</f>
        <v>6077.0008000000007</v>
      </c>
      <c r="N14" s="83">
        <f>M14*(1+'Inputs and Driver'!M15)</f>
        <v>6228.9258200000004</v>
      </c>
      <c r="O14" s="83">
        <f>N14*(1+'Inputs and Driver'!N15)</f>
        <v>6571.5167400999999</v>
      </c>
      <c r="P14" s="83">
        <f>O14*(1+'Inputs and Driver'!O15)</f>
        <v>7064.3804956074991</v>
      </c>
      <c r="Q14" s="83">
        <f>P14*(1+'Inputs and Driver'!P15)</f>
        <v>7276.3119104757243</v>
      </c>
      <c r="R14" s="83">
        <f>Q14*(1+'Inputs and Driver'!Q15)</f>
        <v>7640.1275059995105</v>
      </c>
    </row>
    <row r="15" spans="1:22" x14ac:dyDescent="0.3">
      <c r="A15" s="14"/>
      <c r="B15" t="s">
        <v>171</v>
      </c>
      <c r="C15" s="18"/>
      <c r="D15" s="18"/>
      <c r="E15" s="18"/>
      <c r="H15" s="89">
        <f>H14/4016-1</f>
        <v>0.2445219123505975</v>
      </c>
      <c r="I15" s="89">
        <f>I14/H14-1</f>
        <v>9.8239295718287378E-2</v>
      </c>
      <c r="J15" s="65">
        <f t="shared" ref="J15:R15" si="10">(J14/I14)-1</f>
        <v>1.0566587720896248E-2</v>
      </c>
      <c r="K15" s="65">
        <f t="shared" si="10"/>
        <v>-1.5503875968992276E-2</v>
      </c>
      <c r="L15" s="89">
        <f t="shared" si="10"/>
        <v>4.0000000000000036E-2</v>
      </c>
      <c r="M15" s="89">
        <f t="shared" si="10"/>
        <v>7.0000000000000062E-2</v>
      </c>
      <c r="N15" s="89">
        <f t="shared" si="10"/>
        <v>2.4999999999999911E-2</v>
      </c>
      <c r="O15" s="89">
        <f t="shared" si="10"/>
        <v>5.4999999999999938E-2</v>
      </c>
      <c r="P15" s="89">
        <f t="shared" si="10"/>
        <v>7.4999999999999956E-2</v>
      </c>
      <c r="Q15" s="89">
        <f t="shared" si="10"/>
        <v>3.0000000000000027E-2</v>
      </c>
      <c r="R15" s="89">
        <f t="shared" si="10"/>
        <v>5.0000000000000044E-2</v>
      </c>
    </row>
    <row r="16" spans="1:22" x14ac:dyDescent="0.3">
      <c r="A16" s="19"/>
      <c r="B16" s="14"/>
      <c r="C16" s="14"/>
      <c r="D16" s="14"/>
      <c r="E16" s="14"/>
    </row>
    <row r="17" spans="1:18" ht="18" x14ac:dyDescent="0.35">
      <c r="A17" s="60" t="s">
        <v>135</v>
      </c>
      <c r="B17" s="62" t="s">
        <v>173</v>
      </c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150"/>
    </row>
    <row r="18" spans="1:18" x14ac:dyDescent="0.3">
      <c r="A18" s="14"/>
      <c r="B18" s="20"/>
      <c r="C18" s="20"/>
      <c r="D18" s="20"/>
      <c r="E18" s="20"/>
    </row>
    <row r="19" spans="1:18" ht="15" thickBot="1" x14ac:dyDescent="0.35">
      <c r="A19" s="14"/>
      <c r="B19" s="3" t="s">
        <v>7</v>
      </c>
      <c r="C19" s="20"/>
      <c r="D19" s="20"/>
      <c r="E19" s="20"/>
      <c r="H19" s="61">
        <v>2022</v>
      </c>
      <c r="I19" s="61">
        <v>2023</v>
      </c>
      <c r="J19" s="61">
        <v>2024</v>
      </c>
      <c r="K19" s="64">
        <v>2025</v>
      </c>
      <c r="L19" s="73">
        <f t="shared" ref="L19" si="11">K19+1</f>
        <v>2026</v>
      </c>
      <c r="M19" s="73">
        <f t="shared" ref="M19" si="12">L19+1</f>
        <v>2027</v>
      </c>
      <c r="N19" s="73">
        <f t="shared" ref="N19" si="13">M19+1</f>
        <v>2028</v>
      </c>
      <c r="O19" s="73">
        <f t="shared" ref="O19" si="14">N19+1</f>
        <v>2029</v>
      </c>
      <c r="P19" s="73">
        <f t="shared" ref="P19" si="15">O19+1</f>
        <v>2030</v>
      </c>
      <c r="Q19" s="73">
        <f t="shared" ref="Q19" si="16">P19+1</f>
        <v>2031</v>
      </c>
      <c r="R19" s="73">
        <f>Q19+1</f>
        <v>2032</v>
      </c>
    </row>
    <row r="20" spans="1:18" x14ac:dyDescent="0.3">
      <c r="A20" s="14"/>
      <c r="B20" s="20"/>
      <c r="C20" s="20"/>
      <c r="D20" s="20"/>
      <c r="E20" s="20"/>
    </row>
    <row r="21" spans="1:18" x14ac:dyDescent="0.3">
      <c r="A21" s="14"/>
      <c r="B21" s="66" t="s">
        <v>174</v>
      </c>
      <c r="C21" s="20"/>
      <c r="D21" s="18"/>
      <c r="E21" s="18"/>
      <c r="H21" s="8">
        <v>6991</v>
      </c>
      <c r="I21" s="8">
        <v>7426</v>
      </c>
      <c r="J21" s="8">
        <v>7562</v>
      </c>
      <c r="K21" s="8">
        <v>7463</v>
      </c>
      <c r="L21" s="8">
        <f t="shared" ref="L21:Q21" si="17">L6</f>
        <v>7821.5800000000008</v>
      </c>
      <c r="M21" s="8">
        <f t="shared" si="17"/>
        <v>8411.9334000000017</v>
      </c>
      <c r="N21" s="8">
        <f t="shared" si="17"/>
        <v>8610.5570720000014</v>
      </c>
      <c r="O21" s="8">
        <f t="shared" si="17"/>
        <v>9024.5969296600015</v>
      </c>
      <c r="P21" s="8">
        <f t="shared" si="17"/>
        <v>9566.5222889587003</v>
      </c>
      <c r="Q21" s="8">
        <f t="shared" si="17"/>
        <v>9815.9858307271934</v>
      </c>
      <c r="R21" s="8">
        <f t="shared" ref="R21" si="18">R6</f>
        <v>10306.785122263553</v>
      </c>
    </row>
    <row r="22" spans="1:18" x14ac:dyDescent="0.3">
      <c r="A22" s="14"/>
      <c r="B22" s="67" t="s">
        <v>175</v>
      </c>
      <c r="C22" s="18"/>
      <c r="D22" s="20"/>
      <c r="E22" s="20"/>
      <c r="H22" s="86">
        <v>-1848</v>
      </c>
      <c r="I22" s="86">
        <v>-1780</v>
      </c>
      <c r="J22" s="86">
        <v>-1693</v>
      </c>
      <c r="K22" s="86">
        <v>-1543</v>
      </c>
      <c r="L22" s="54">
        <f>(L21*'Inputs and Driver'!K22)*-1</f>
        <v>-1720.7476000000001</v>
      </c>
      <c r="M22" s="54">
        <f>(M21*'Inputs and Driver'!L22)*-1</f>
        <v>-1850.6253480000005</v>
      </c>
      <c r="N22" s="54">
        <f ca="1">(N21*'Inputs and Driver'!M22)*-1</f>
        <v>-1872.7961631800483</v>
      </c>
      <c r="O22" s="54">
        <f ca="1">(O21*'Inputs and Driver'!N22)*-1</f>
        <v>-1940.2883399189243</v>
      </c>
      <c r="P22" s="54">
        <f ca="1">(P21*'Inputs and Driver'!O22)*-1</f>
        <v>-2032.885986470545</v>
      </c>
      <c r="Q22" s="54">
        <f ca="1">(Q21*'Inputs and Driver'!P22)*-1</f>
        <v>-2061.3570245441288</v>
      </c>
      <c r="R22" s="54">
        <f ca="1">(R21*'Inputs and Driver'!Q22)*-1</f>
        <v>-2087.1239873543586</v>
      </c>
    </row>
    <row r="23" spans="1:18" x14ac:dyDescent="0.3">
      <c r="A23" s="14"/>
      <c r="B23" s="66" t="s">
        <v>176</v>
      </c>
      <c r="C23" s="20"/>
      <c r="D23" s="20"/>
      <c r="E23" s="20"/>
      <c r="H23" s="56">
        <f>SUM(H21:H22)</f>
        <v>5143</v>
      </c>
      <c r="I23" s="56">
        <f>SUM(I21:I22)</f>
        <v>5646</v>
      </c>
      <c r="J23" s="56">
        <f t="shared" ref="J23:K23" si="19">SUM(J21:J22)</f>
        <v>5869</v>
      </c>
      <c r="K23" s="56">
        <f t="shared" si="19"/>
        <v>5920</v>
      </c>
      <c r="L23" s="56">
        <f t="shared" ref="L23:Q23" si="20">L21+L22</f>
        <v>6100.8324000000011</v>
      </c>
      <c r="M23" s="56">
        <f t="shared" si="20"/>
        <v>6561.3080520000012</v>
      </c>
      <c r="N23" s="56">
        <f t="shared" ca="1" si="20"/>
        <v>6737.7609088199533</v>
      </c>
      <c r="O23" s="56">
        <f t="shared" ca="1" si="20"/>
        <v>7084.3085897410774</v>
      </c>
      <c r="P23" s="56">
        <f t="shared" ca="1" si="20"/>
        <v>7533.6363024881557</v>
      </c>
      <c r="Q23" s="56">
        <f t="shared" ca="1" si="20"/>
        <v>7754.6288061830646</v>
      </c>
      <c r="R23" s="56">
        <f t="shared" ref="R23" ca="1" si="21">R21+R22</f>
        <v>8219.6611349091945</v>
      </c>
    </row>
    <row r="24" spans="1:18" x14ac:dyDescent="0.3">
      <c r="A24" s="14"/>
      <c r="B24" s="68"/>
      <c r="C24" s="20"/>
      <c r="D24" s="20"/>
      <c r="E24" s="20"/>
    </row>
    <row r="25" spans="1:18" x14ac:dyDescent="0.3">
      <c r="A25" s="14"/>
      <c r="B25" s="68" t="s">
        <v>177</v>
      </c>
      <c r="C25" s="20"/>
      <c r="D25" s="20"/>
      <c r="E25" s="20"/>
      <c r="H25" s="86">
        <v>-1634</v>
      </c>
      <c r="I25" s="86">
        <v>-1705</v>
      </c>
      <c r="J25" s="86">
        <v>-1710</v>
      </c>
      <c r="K25" s="86">
        <v>-1700</v>
      </c>
      <c r="L25" s="54">
        <f>(L21*'Inputs and Driver'!K32)*-1</f>
        <v>-1798.9634000000003</v>
      </c>
      <c r="M25" s="54">
        <f>(M21*'Inputs and Driver'!L32)*-1</f>
        <v>-1934.7446820000005</v>
      </c>
      <c r="N25" s="54">
        <f>(N21*'Inputs and Driver'!M32)*-1</f>
        <v>-1963.2070124160005</v>
      </c>
      <c r="O25" s="54">
        <f>(O21*'Inputs and Driver'!N32)*-1</f>
        <v>-2039.5589061031603</v>
      </c>
      <c r="P25" s="54">
        <f>(P21*'Inputs and Driver'!O32)*-1</f>
        <v>-2142.9009927267489</v>
      </c>
      <c r="Q25" s="54">
        <f>(Q21*'Inputs and Driver'!P32)*-1</f>
        <v>-2179.1488544214371</v>
      </c>
      <c r="R25" s="54">
        <f>(R21*'Inputs and Driver'!Q32)*-1</f>
        <v>-2267.4927268979818</v>
      </c>
    </row>
    <row r="26" spans="1:18" x14ac:dyDescent="0.3">
      <c r="A26" s="14"/>
      <c r="B26" s="68" t="s">
        <v>178</v>
      </c>
      <c r="C26" s="20"/>
      <c r="D26" s="18"/>
      <c r="E26" s="18"/>
      <c r="H26" s="86">
        <v>-2186</v>
      </c>
      <c r="I26" s="86">
        <v>-2328</v>
      </c>
      <c r="J26" s="86">
        <v>-2420</v>
      </c>
      <c r="K26" s="86">
        <v>-2569</v>
      </c>
      <c r="L26" s="54">
        <f>(L21*'Inputs and Driver'!K27)*-1</f>
        <v>-2698.4450999999999</v>
      </c>
      <c r="M26" s="54">
        <f>(M21*'Inputs and Driver'!L27)*-1</f>
        <v>-2902.1170230000002</v>
      </c>
      <c r="N26" s="54">
        <f>(N21*'Inputs and Driver'!M27)*-1</f>
        <v>-2927.5894044800002</v>
      </c>
      <c r="O26" s="54">
        <f>(O21*'Inputs and Driver'!N27)*-1</f>
        <v>-2917.9530072567336</v>
      </c>
      <c r="P26" s="54">
        <f>(P21*'Inputs and Driver'!O27)*-1</f>
        <v>-2933.7335019473344</v>
      </c>
      <c r="Q26" s="54">
        <f>(Q21*'Inputs and Driver'!P27)*-1</f>
        <v>-2846.6358909108858</v>
      </c>
      <c r="R26" s="54">
        <f>(R21*'Inputs and Driver'!Q27)*-1</f>
        <v>-2834.3659086224766</v>
      </c>
    </row>
    <row r="27" spans="1:18" x14ac:dyDescent="0.3">
      <c r="A27" s="14"/>
      <c r="B27" s="68"/>
      <c r="C27" s="20"/>
      <c r="D27" s="18"/>
      <c r="E27" s="18"/>
    </row>
    <row r="28" spans="1:18" x14ac:dyDescent="0.3">
      <c r="A28" s="14"/>
      <c r="B28" s="68" t="s">
        <v>179</v>
      </c>
      <c r="C28" s="20"/>
      <c r="D28" s="18"/>
      <c r="E28" s="18"/>
      <c r="H28" s="86">
        <v>-149</v>
      </c>
      <c r="I28" s="86">
        <v>-130</v>
      </c>
      <c r="J28" s="86">
        <v>-89</v>
      </c>
      <c r="K28" s="86">
        <v>-67</v>
      </c>
      <c r="L28" s="54">
        <f>(L21*'Inputs and Driver'!K37)*-1</f>
        <v>-86.037379999999999</v>
      </c>
      <c r="M28" s="54">
        <f>(M21*'Inputs and Driver'!L37)*-1</f>
        <v>-91.129278500000026</v>
      </c>
      <c r="N28" s="54">
        <f>(N21*'Inputs and Driver'!M37)*-1</f>
        <v>-91.845942101333364</v>
      </c>
      <c r="O28" s="54">
        <f>(O21*'Inputs and Driver'!N37)*-1</f>
        <v>-94.758267761430034</v>
      </c>
      <c r="P28" s="54">
        <f>(P21*'Inputs and Driver'!O37)*-1</f>
        <v>-98.854063652573274</v>
      </c>
      <c r="Q28" s="54">
        <f>(Q21*'Inputs and Driver'!P37)*-1</f>
        <v>-99.795855945726515</v>
      </c>
      <c r="R28" s="54">
        <f>(R21*'Inputs and Driver'!Q37)*-1</f>
        <v>-103.06785122263553</v>
      </c>
    </row>
    <row r="29" spans="1:18" x14ac:dyDescent="0.3">
      <c r="A29" s="19"/>
      <c r="B29" s="69" t="s">
        <v>180</v>
      </c>
      <c r="C29" s="14"/>
      <c r="D29" s="14"/>
      <c r="E29" s="14"/>
      <c r="H29" s="56">
        <f t="shared" ref="H29:R29" si="22">SUM(H23,H25:H26,H28)</f>
        <v>1174</v>
      </c>
      <c r="I29" s="56">
        <f t="shared" si="22"/>
        <v>1483</v>
      </c>
      <c r="J29" s="56">
        <f t="shared" si="22"/>
        <v>1650</v>
      </c>
      <c r="K29" s="56">
        <f t="shared" si="22"/>
        <v>1584</v>
      </c>
      <c r="L29" s="56">
        <f t="shared" si="22"/>
        <v>1517.3865200000007</v>
      </c>
      <c r="M29" s="56">
        <f t="shared" si="22"/>
        <v>1633.3170685000005</v>
      </c>
      <c r="N29" s="56">
        <f t="shared" ca="1" si="22"/>
        <v>1755.1185498226198</v>
      </c>
      <c r="O29" s="56">
        <f t="shared" ca="1" si="22"/>
        <v>2032.0384086197532</v>
      </c>
      <c r="P29" s="56">
        <f t="shared" ca="1" si="22"/>
        <v>2358.1477441614993</v>
      </c>
      <c r="Q29" s="56">
        <f t="shared" ca="1" si="22"/>
        <v>2629.0482049050152</v>
      </c>
      <c r="R29" s="56">
        <f t="shared" ca="1" si="22"/>
        <v>3014.7346481661007</v>
      </c>
    </row>
    <row r="30" spans="1:18" x14ac:dyDescent="0.3">
      <c r="A30" s="19"/>
      <c r="B30" s="67" t="s">
        <v>181</v>
      </c>
      <c r="C30" s="14"/>
      <c r="D30" s="14"/>
      <c r="E30" s="14"/>
      <c r="H30" s="56"/>
      <c r="I30" s="56"/>
      <c r="J30" s="56"/>
      <c r="K30" s="56"/>
      <c r="L30" s="89">
        <f>L29/L6</f>
        <v>0.19400000000000006</v>
      </c>
      <c r="M30" s="89">
        <f t="shared" ref="M30:R30" si="23">M29/M6</f>
        <v>0.19416666666666668</v>
      </c>
      <c r="N30" s="89">
        <f t="shared" ca="1" si="23"/>
        <v>0.20383333333100512</v>
      </c>
      <c r="O30" s="89">
        <f t="shared" ca="1" si="23"/>
        <v>0.22516666666201007</v>
      </c>
      <c r="P30" s="89">
        <f t="shared" ca="1" si="23"/>
        <v>0.2464999999930152</v>
      </c>
      <c r="Q30" s="89">
        <f t="shared" ca="1" si="23"/>
        <v>0.26783333332402015</v>
      </c>
      <c r="R30" s="89">
        <f t="shared" ca="1" si="23"/>
        <v>0.29249999999068688</v>
      </c>
    </row>
    <row r="31" spans="1:18" x14ac:dyDescent="0.3">
      <c r="A31" s="19"/>
      <c r="B31" s="69"/>
      <c r="C31" s="14"/>
      <c r="D31" s="14"/>
      <c r="E31" s="14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</row>
    <row r="32" spans="1:18" x14ac:dyDescent="0.3">
      <c r="A32" s="14"/>
      <c r="B32" s="68" t="s">
        <v>182</v>
      </c>
      <c r="C32" s="20"/>
      <c r="D32" s="20"/>
      <c r="E32" s="20"/>
      <c r="H32" s="54">
        <v>-48</v>
      </c>
      <c r="I32" s="54">
        <v>-6</v>
      </c>
      <c r="J32" s="54">
        <v>71</v>
      </c>
      <c r="K32" s="54">
        <v>85</v>
      </c>
      <c r="L32" s="54">
        <f>L21*'Inputs and Driver'!K39+L257</f>
        <v>28.764715000000017</v>
      </c>
      <c r="M32" s="54">
        <f ca="1">M21*'Inputs and Driver'!L39+M257</f>
        <v>-996.13954622594179</v>
      </c>
      <c r="N32" s="54">
        <f ca="1">N21*'Inputs and Driver'!M39+N257</f>
        <v>-925.75306303541038</v>
      </c>
      <c r="O32" s="54">
        <f ca="1">O21*'Inputs and Driver'!N39+O257</f>
        <v>-803.60755524625779</v>
      </c>
      <c r="P32" s="54">
        <f ca="1">P21*'Inputs and Driver'!O39+P257</f>
        <v>-995.30066895766686</v>
      </c>
      <c r="Q32" s="54">
        <f ca="1">Q21*'Inputs and Driver'!P39+Q257</f>
        <v>-751.52382981117057</v>
      </c>
      <c r="R32" s="54">
        <f ca="1">R21*'Inputs and Driver'!Q39+R257</f>
        <v>-588.71978620635116</v>
      </c>
    </row>
    <row r="33" spans="1:18" x14ac:dyDescent="0.3">
      <c r="A33" s="14"/>
      <c r="B33" s="66" t="s">
        <v>183</v>
      </c>
      <c r="C33" s="21"/>
      <c r="D33" s="87"/>
      <c r="E33" s="87"/>
      <c r="F33" s="38"/>
      <c r="G33" s="38"/>
      <c r="H33" s="56">
        <f>SUM(H29:H32)</f>
        <v>1126</v>
      </c>
      <c r="I33" s="56">
        <f>SUM(I29:I32)</f>
        <v>1477</v>
      </c>
      <c r="J33" s="56">
        <f t="shared" ref="J33" si="24">SUM(J29:J32)</f>
        <v>1721</v>
      </c>
      <c r="K33" s="56">
        <f t="shared" ref="K33:Q33" si="25">SUM(K29:K32)</f>
        <v>1669</v>
      </c>
      <c r="L33" s="56">
        <f t="shared" si="25"/>
        <v>1546.3452350000007</v>
      </c>
      <c r="M33" s="56">
        <f t="shared" ca="1" si="25"/>
        <v>637.37168894072533</v>
      </c>
      <c r="N33" s="56">
        <f t="shared" ca="1" si="25"/>
        <v>829.5693201205404</v>
      </c>
      <c r="O33" s="56">
        <f t="shared" ca="1" si="25"/>
        <v>1228.6560200401575</v>
      </c>
      <c r="P33" s="56">
        <f t="shared" ca="1" si="25"/>
        <v>1363.0935752038254</v>
      </c>
      <c r="Q33" s="56">
        <f t="shared" ca="1" si="25"/>
        <v>1877.7922084271688</v>
      </c>
      <c r="R33" s="56">
        <f t="shared" ref="R33" ca="1" si="26">SUM(R29:R32)</f>
        <v>2426.3073619597399</v>
      </c>
    </row>
    <row r="34" spans="1:18" x14ac:dyDescent="0.3">
      <c r="A34" s="14"/>
      <c r="B34" s="68"/>
      <c r="C34" s="20"/>
      <c r="D34" s="20"/>
      <c r="E34" s="20"/>
    </row>
    <row r="35" spans="1:18" x14ac:dyDescent="0.3">
      <c r="A35" s="14"/>
      <c r="B35" s="68" t="s">
        <v>184</v>
      </c>
      <c r="C35" s="20"/>
      <c r="D35" s="20"/>
      <c r="E35" s="20"/>
      <c r="H35" s="54">
        <v>-292</v>
      </c>
      <c r="I35" s="54">
        <v>-524</v>
      </c>
      <c r="J35" s="54">
        <v>-316</v>
      </c>
      <c r="K35" s="54">
        <v>-484</v>
      </c>
      <c r="L35" s="54">
        <f>-L33*'Transaction Details'!$F$28</f>
        <v>-463.90357050000017</v>
      </c>
      <c r="M35" s="54">
        <f ca="1">-M33*'Transaction Details'!$F$28</f>
        <v>-191.21150668221759</v>
      </c>
      <c r="N35" s="54">
        <f ca="1">-N33*'Transaction Details'!$F$28</f>
        <v>-248.87079603616212</v>
      </c>
      <c r="O35" s="54">
        <f ca="1">-O33*'Transaction Details'!$F$28</f>
        <v>-368.59680601204724</v>
      </c>
      <c r="P35" s="54">
        <f ca="1">-P33*'Transaction Details'!$F$28</f>
        <v>-408.92807256114759</v>
      </c>
      <c r="Q35" s="54">
        <f ca="1">-Q33*'Transaction Details'!$F$28</f>
        <v>-563.33766252815064</v>
      </c>
      <c r="R35" s="54">
        <f ca="1">-R33*'Transaction Details'!$F$28</f>
        <v>-727.89220858792191</v>
      </c>
    </row>
    <row r="36" spans="1:18" x14ac:dyDescent="0.3">
      <c r="A36" s="14"/>
      <c r="B36" s="66" t="s">
        <v>185</v>
      </c>
      <c r="C36" s="21"/>
      <c r="D36" s="21"/>
      <c r="E36" s="21"/>
      <c r="F36" s="38"/>
      <c r="G36" s="38"/>
      <c r="H36" s="56">
        <f>H33+H35</f>
        <v>834</v>
      </c>
      <c r="I36" s="56">
        <f>I33+I35</f>
        <v>953</v>
      </c>
      <c r="J36" s="56">
        <f t="shared" ref="J36:K36" si="27">J33+J35</f>
        <v>1405</v>
      </c>
      <c r="K36" s="56">
        <f t="shared" si="27"/>
        <v>1185</v>
      </c>
      <c r="L36" s="56">
        <f>L33+L35</f>
        <v>1082.4416645000006</v>
      </c>
      <c r="M36" s="56">
        <f t="shared" ref="M36:Q36" ca="1" si="28">M33+M35</f>
        <v>446.16018225850775</v>
      </c>
      <c r="N36" s="56">
        <f t="shared" ca="1" si="28"/>
        <v>580.69852408437828</v>
      </c>
      <c r="O36" s="56">
        <f t="shared" ca="1" si="28"/>
        <v>860.05921402811032</v>
      </c>
      <c r="P36" s="56">
        <f t="shared" ca="1" si="28"/>
        <v>954.16550264267778</v>
      </c>
      <c r="Q36" s="56">
        <f t="shared" ca="1" si="28"/>
        <v>1314.4545458990183</v>
      </c>
      <c r="R36" s="56">
        <f t="shared" ref="R36" ca="1" si="29">R33+R35</f>
        <v>1698.415153371818</v>
      </c>
    </row>
    <row r="37" spans="1:18" x14ac:dyDescent="0.3">
      <c r="A37" s="14"/>
      <c r="B37" s="66"/>
      <c r="C37" s="20"/>
      <c r="D37" s="20"/>
      <c r="E37" s="20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</row>
    <row r="38" spans="1:18" x14ac:dyDescent="0.3">
      <c r="A38" s="19"/>
      <c r="B38" s="69" t="s">
        <v>186</v>
      </c>
      <c r="C38" s="14"/>
      <c r="D38" s="14"/>
      <c r="E38" s="14"/>
      <c r="H38" s="56">
        <v>1612</v>
      </c>
      <c r="I38" s="56">
        <v>1910</v>
      </c>
      <c r="J38" s="56">
        <v>1982</v>
      </c>
      <c r="K38" s="56">
        <v>1938</v>
      </c>
      <c r="L38" s="56">
        <f t="shared" ref="L38:Q38" si="30">SUM(L29,L49)</f>
        <v>1908.4655200000007</v>
      </c>
      <c r="M38" s="56">
        <f t="shared" si="30"/>
        <v>2046.9037940000005</v>
      </c>
      <c r="N38" s="56">
        <f t="shared" ca="1" si="30"/>
        <v>2171.2954749692867</v>
      </c>
      <c r="O38" s="56">
        <f t="shared" ca="1" si="30"/>
        <v>2460.7067627786032</v>
      </c>
      <c r="P38" s="56">
        <f t="shared" ca="1" si="30"/>
        <v>2804.5854509795722</v>
      </c>
      <c r="Q38" s="56">
        <f t="shared" ca="1" si="30"/>
        <v>3078.9475554800115</v>
      </c>
      <c r="R38" s="56">
        <f t="shared" ref="R38" ca="1" si="31">SUM(R29,R49)</f>
        <v>3478.5399786679604</v>
      </c>
    </row>
    <row r="39" spans="1:18" x14ac:dyDescent="0.3">
      <c r="A39" s="19"/>
      <c r="B39" s="67" t="s">
        <v>57</v>
      </c>
      <c r="C39" s="14"/>
      <c r="D39" s="14"/>
      <c r="E39" s="14"/>
      <c r="H39" s="97">
        <f>H38/H21</f>
        <v>0.23058217708482334</v>
      </c>
      <c r="I39" s="88">
        <f>I38/I21</f>
        <v>0.25720441691354701</v>
      </c>
      <c r="J39" s="88">
        <f>J38/J21</f>
        <v>0.2620999735519704</v>
      </c>
      <c r="K39" s="88">
        <f>K38/K21</f>
        <v>0.25968109339407747</v>
      </c>
      <c r="L39" s="97">
        <f t="shared" ref="L39:R39" si="32">L38/L6</f>
        <v>0.24400000000000005</v>
      </c>
      <c r="M39" s="97">
        <f t="shared" si="32"/>
        <v>0.24333333333333335</v>
      </c>
      <c r="N39" s="97">
        <f t="shared" ca="1" si="32"/>
        <v>0.25216666666433846</v>
      </c>
      <c r="O39" s="97">
        <f t="shared" ca="1" si="32"/>
        <v>0.27266666666201006</v>
      </c>
      <c r="P39" s="97">
        <f t="shared" ca="1" si="32"/>
        <v>0.29316666665968188</v>
      </c>
      <c r="Q39" s="97">
        <f t="shared" ca="1" si="32"/>
        <v>0.31366666665735349</v>
      </c>
      <c r="R39" s="97">
        <f t="shared" ca="1" si="32"/>
        <v>0.33749999999068686</v>
      </c>
    </row>
    <row r="40" spans="1:18" x14ac:dyDescent="0.3">
      <c r="A40" s="14"/>
      <c r="B40" s="68"/>
      <c r="C40" s="18"/>
      <c r="D40" s="18"/>
      <c r="E40" s="18"/>
      <c r="L40" s="10"/>
    </row>
    <row r="41" spans="1:18" ht="18" x14ac:dyDescent="0.35">
      <c r="A41" s="60" t="s">
        <v>135</v>
      </c>
      <c r="B41" s="62" t="s">
        <v>187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150"/>
    </row>
    <row r="42" spans="1:18" x14ac:dyDescent="0.3">
      <c r="A42" s="14"/>
      <c r="B42" s="68"/>
      <c r="C42" s="20"/>
      <c r="D42" s="20"/>
      <c r="E42" s="20"/>
    </row>
    <row r="43" spans="1:18" ht="15" thickBot="1" x14ac:dyDescent="0.35">
      <c r="A43" s="14"/>
      <c r="B43" s="3" t="s">
        <v>7</v>
      </c>
      <c r="C43" s="20"/>
      <c r="D43" s="20"/>
      <c r="E43" s="20"/>
      <c r="I43" s="61">
        <v>2023</v>
      </c>
      <c r="J43" s="61">
        <v>2024</v>
      </c>
      <c r="K43" s="64">
        <v>2025</v>
      </c>
      <c r="L43" s="73">
        <f t="shared" ref="L43" si="33">K43+1</f>
        <v>2026</v>
      </c>
      <c r="M43" s="73">
        <f t="shared" ref="M43" si="34">L43+1</f>
        <v>2027</v>
      </c>
      <c r="N43" s="73">
        <f t="shared" ref="N43" si="35">M43+1</f>
        <v>2028</v>
      </c>
      <c r="O43" s="73">
        <f t="shared" ref="O43" si="36">N43+1</f>
        <v>2029</v>
      </c>
      <c r="P43" s="73">
        <f t="shared" ref="P43" si="37">O43+1</f>
        <v>2030</v>
      </c>
      <c r="Q43" s="73">
        <f t="shared" ref="Q43" si="38">P43+1</f>
        <v>2031</v>
      </c>
      <c r="R43" s="73">
        <f>Q43+1</f>
        <v>2032</v>
      </c>
    </row>
    <row r="44" spans="1:18" x14ac:dyDescent="0.3">
      <c r="A44" s="14"/>
      <c r="B44" s="68"/>
      <c r="C44" s="20"/>
      <c r="D44" s="20"/>
      <c r="E44" s="20"/>
    </row>
    <row r="45" spans="1:18" x14ac:dyDescent="0.3">
      <c r="A45" s="14"/>
      <c r="B45" s="38" t="s">
        <v>188</v>
      </c>
      <c r="C45" s="20"/>
      <c r="D45" s="18"/>
      <c r="E45" s="18"/>
    </row>
    <row r="46" spans="1:18" x14ac:dyDescent="0.3">
      <c r="A46" s="14"/>
      <c r="B46" t="s">
        <v>189</v>
      </c>
      <c r="C46" s="20"/>
      <c r="D46" s="20"/>
      <c r="E46" s="20"/>
      <c r="I46" s="10">
        <f>I36</f>
        <v>953</v>
      </c>
      <c r="J46" s="10">
        <f t="shared" ref="J46:K46" si="39">J36</f>
        <v>1405</v>
      </c>
      <c r="K46" s="10">
        <f t="shared" si="39"/>
        <v>1185</v>
      </c>
      <c r="L46" s="10">
        <f>L36</f>
        <v>1082.4416645000006</v>
      </c>
      <c r="M46" s="10">
        <f t="shared" ref="M46:Q46" ca="1" si="40">M36</f>
        <v>446.16018225850775</v>
      </c>
      <c r="N46" s="10">
        <f t="shared" ca="1" si="40"/>
        <v>580.69852408437828</v>
      </c>
      <c r="O46" s="10">
        <f t="shared" ca="1" si="40"/>
        <v>860.05921402811032</v>
      </c>
      <c r="P46" s="10">
        <f t="shared" ca="1" si="40"/>
        <v>954.16550264267778</v>
      </c>
      <c r="Q46" s="10">
        <f t="shared" ca="1" si="40"/>
        <v>1314.4545458990183</v>
      </c>
      <c r="R46" s="10">
        <f t="shared" ref="R46" ca="1" si="41">R36</f>
        <v>1698.415153371818</v>
      </c>
    </row>
    <row r="47" spans="1:18" x14ac:dyDescent="0.3">
      <c r="A47" s="14"/>
      <c r="B47" t="s">
        <v>190</v>
      </c>
      <c r="C47" s="18"/>
      <c r="D47" s="18"/>
      <c r="E47" s="20"/>
      <c r="I47" s="116">
        <f>SUM('Cash Flow Statement'!D19:D21,'Cash Flow Statement'!D25)</f>
        <v>110</v>
      </c>
      <c r="J47" s="116">
        <f>SUM('Cash Flow Statement'!E19:E21,'Cash Flow Statement'!E25)</f>
        <v>-89</v>
      </c>
      <c r="K47" s="116">
        <f>SUM('Cash Flow Statement'!F19:F21,'Cash Flow Statement'!F25)</f>
        <v>75</v>
      </c>
      <c r="L47" s="10">
        <f>L123</f>
        <v>168.68282101369914</v>
      </c>
      <c r="M47" s="10">
        <f t="shared" ref="M47:Q47" si="42">M123</f>
        <v>173.75618331411033</v>
      </c>
      <c r="N47" s="10">
        <f t="shared" ca="1" si="42"/>
        <v>60.662828340874057</v>
      </c>
      <c r="O47" s="10">
        <f t="shared" ca="1" si="42"/>
        <v>122.86642884909679</v>
      </c>
      <c r="P47" s="10">
        <f t="shared" ca="1" si="42"/>
        <v>159.98798751446702</v>
      </c>
      <c r="Q47" s="10">
        <f t="shared" ca="1" si="42"/>
        <v>75.539695877252143</v>
      </c>
      <c r="R47" s="10">
        <f t="shared" ref="R47" ca="1" si="43">R123</f>
        <v>143.13371352550894</v>
      </c>
    </row>
    <row r="48" spans="1:18" x14ac:dyDescent="0.3">
      <c r="A48" s="14"/>
      <c r="B48" t="s">
        <v>191</v>
      </c>
      <c r="C48" s="18"/>
      <c r="D48" s="18"/>
      <c r="E48" s="20"/>
      <c r="I48" s="116">
        <f>'Cash Flow Statement'!D18</f>
        <v>548</v>
      </c>
      <c r="J48" s="116">
        <f>'Cash Flow Statement'!E18</f>
        <v>584</v>
      </c>
      <c r="K48" s="116">
        <f>'Cash Flow Statement'!F18</f>
        <v>642</v>
      </c>
      <c r="L48" s="10">
        <f>'Inputs and Driver'!K49*L22*-1</f>
        <v>688.2990400000001</v>
      </c>
      <c r="M48" s="10">
        <f>'Inputs and Driver'!L49*M22*-1</f>
        <v>712.49075898000024</v>
      </c>
      <c r="N48" s="10">
        <f ca="1">'Inputs and Driver'!M49*N22*-1</f>
        <v>696.68017270297798</v>
      </c>
      <c r="O48" s="10">
        <f ca="1">'Inputs and Driver'!N49*O22*-1</f>
        <v>701.60826371468295</v>
      </c>
      <c r="P48" s="10">
        <f ca="1">'Inputs and Driver'!O49*P22*-1</f>
        <v>718.17796130031411</v>
      </c>
      <c r="Q48" s="10">
        <f ca="1">'Inputs and Driver'!P49*Q22*-1</f>
        <v>714.51581727558403</v>
      </c>
      <c r="R48" s="10">
        <f ca="1">'Inputs and Driver'!Q49*R22*-1</f>
        <v>667.87967595339478</v>
      </c>
    </row>
    <row r="49" spans="1:18" x14ac:dyDescent="0.3">
      <c r="A49" s="14"/>
      <c r="B49" t="s">
        <v>192</v>
      </c>
      <c r="C49" s="20"/>
      <c r="D49" s="20"/>
      <c r="E49" s="20"/>
      <c r="I49" s="116">
        <f>'Cash Flow Statement'!D17</f>
        <v>536</v>
      </c>
      <c r="J49" s="116">
        <f>'Cash Flow Statement'!E17</f>
        <v>404</v>
      </c>
      <c r="K49" s="116">
        <f>'Cash Flow Statement'!F17</f>
        <v>356</v>
      </c>
      <c r="L49" s="54">
        <f>L6*'Inputs and Driver'!K41</f>
        <v>391.07900000000006</v>
      </c>
      <c r="M49" s="54">
        <f>M6*'Inputs and Driver'!L41</f>
        <v>413.58672550000011</v>
      </c>
      <c r="N49" s="54">
        <f>N6*'Inputs and Driver'!M41</f>
        <v>416.1769251466668</v>
      </c>
      <c r="O49" s="54">
        <f>O6*'Inputs and Driver'!N41</f>
        <v>428.66835415885015</v>
      </c>
      <c r="P49" s="54">
        <f>P6*'Inputs and Driver'!O41</f>
        <v>446.43770681807274</v>
      </c>
      <c r="Q49" s="54">
        <f>Q6*'Inputs and Driver'!P41</f>
        <v>449.89935057499645</v>
      </c>
      <c r="R49" s="54">
        <f>R6*'Inputs and Driver'!Q41</f>
        <v>463.80533050185983</v>
      </c>
    </row>
    <row r="50" spans="1:18" x14ac:dyDescent="0.3">
      <c r="A50" s="14"/>
      <c r="B50" t="s">
        <v>193</v>
      </c>
      <c r="C50" s="20"/>
      <c r="D50" s="20"/>
      <c r="E50" s="20"/>
      <c r="I50" s="116">
        <f>SUM('Cash Flow Statement'!D23:D24)</f>
        <v>-324</v>
      </c>
      <c r="J50" s="116">
        <f>SUM('Cash Flow Statement'!E23:E24)</f>
        <v>230</v>
      </c>
      <c r="K50" s="116">
        <f>SUM('Cash Flow Statement'!F23:F24)</f>
        <v>-1</v>
      </c>
      <c r="L50" s="54">
        <f>'Inputs and Driver'!K47*Model!L6</f>
        <v>-39.107900000000008</v>
      </c>
      <c r="M50" s="54">
        <f>'Inputs and Driver'!L47*Model!M6</f>
        <v>-35.049722500000009</v>
      </c>
      <c r="N50" s="54">
        <f>'Inputs and Driver'!M47*Model!N6</f>
        <v>-28.70185690666667</v>
      </c>
      <c r="O50" s="54">
        <f>'Inputs and Driver'!N47*Model!O6</f>
        <v>-22.561492324149999</v>
      </c>
      <c r="P50" s="54">
        <f>'Inputs and Driver'!O47*Model!P6</f>
        <v>-15.944203814931162</v>
      </c>
      <c r="Q50" s="54">
        <f>'Inputs and Driver'!P47*Model!Q6</f>
        <v>-8.1799881922726545</v>
      </c>
      <c r="R50" s="54">
        <f>'Inputs and Driver'!Q47*Model!R6</f>
        <v>0</v>
      </c>
    </row>
    <row r="51" spans="1:18" x14ac:dyDescent="0.3">
      <c r="A51" s="14"/>
      <c r="B51" t="s">
        <v>194</v>
      </c>
      <c r="C51" s="20"/>
      <c r="D51" s="20"/>
      <c r="E51" s="20"/>
      <c r="I51" s="116">
        <f>'Cash Flow Statement'!D22</f>
        <v>-122</v>
      </c>
      <c r="J51" s="116">
        <f>'Cash Flow Statement'!E22</f>
        <v>-87</v>
      </c>
      <c r="K51" s="116">
        <f>'Cash Flow Statement'!F22</f>
        <v>-114</v>
      </c>
      <c r="L51" s="54">
        <f>'Inputs and Driver'!K45*Model!L6</f>
        <v>-78.215800000000016</v>
      </c>
      <c r="M51" s="54">
        <f>'Inputs and Driver'!L45*Model!M6</f>
        <v>-56.079556000000011</v>
      </c>
      <c r="N51" s="54">
        <f>'Inputs and Driver'!M45*Model!N6</f>
        <v>-28.701856906666666</v>
      </c>
      <c r="O51" s="54">
        <f>'Inputs and Driver'!N45*Model!O6</f>
        <v>0</v>
      </c>
      <c r="P51" s="54">
        <f>'Inputs and Driver'!O45*Model!P6</f>
        <v>31.888407629862336</v>
      </c>
      <c r="Q51" s="54">
        <f>'Inputs and Driver'!P45*Model!Q6</f>
        <v>65.439905538181293</v>
      </c>
      <c r="R51" s="54">
        <f>'Inputs and Driver'!Q45*Model!R6</f>
        <v>103.06785122263553</v>
      </c>
    </row>
    <row r="52" spans="1:18" x14ac:dyDescent="0.3">
      <c r="A52" s="14"/>
      <c r="B52" s="38" t="s">
        <v>195</v>
      </c>
      <c r="C52" s="18"/>
      <c r="D52" s="20"/>
      <c r="E52" s="18"/>
      <c r="I52" s="162">
        <f>SUM(I46:I51)</f>
        <v>1701</v>
      </c>
      <c r="J52" s="162">
        <f t="shared" ref="J52:K52" si="44">SUM(J46:J51)</f>
        <v>2447</v>
      </c>
      <c r="K52" s="162">
        <f t="shared" si="44"/>
        <v>2143</v>
      </c>
      <c r="L52" s="161">
        <f>SUM(L46:L51)</f>
        <v>2213.1788255136998</v>
      </c>
      <c r="M52" s="161">
        <f t="shared" ref="M52:Q52" ca="1" si="45">SUM(M46:M51)</f>
        <v>1654.8645715526186</v>
      </c>
      <c r="N52" s="161">
        <f t="shared" ca="1" si="45"/>
        <v>1696.8147364615634</v>
      </c>
      <c r="O52" s="161">
        <f t="shared" ca="1" si="45"/>
        <v>2090.6407684265901</v>
      </c>
      <c r="P52" s="161">
        <f t="shared" ca="1" si="45"/>
        <v>2294.7133620904629</v>
      </c>
      <c r="Q52" s="161">
        <f t="shared" ca="1" si="45"/>
        <v>2611.6693269727598</v>
      </c>
      <c r="R52" s="161">
        <f t="shared" ref="R52" ca="1" si="46">SUM(R46:R51)</f>
        <v>3076.3017245752171</v>
      </c>
    </row>
    <row r="53" spans="1:18" x14ac:dyDescent="0.3">
      <c r="A53" s="14"/>
      <c r="B53" s="68"/>
      <c r="C53" s="20"/>
      <c r="D53" s="18"/>
      <c r="E53" s="20"/>
    </row>
    <row r="54" spans="1:18" x14ac:dyDescent="0.3">
      <c r="A54" s="14"/>
      <c r="B54" s="38" t="s">
        <v>196</v>
      </c>
      <c r="C54" s="18"/>
      <c r="D54" s="20"/>
      <c r="E54" s="18"/>
    </row>
    <row r="55" spans="1:18" x14ac:dyDescent="0.3">
      <c r="A55" s="19"/>
      <c r="B55" t="s">
        <v>45</v>
      </c>
      <c r="C55" s="14"/>
      <c r="D55" s="14"/>
      <c r="E55" s="14"/>
      <c r="I55" s="116">
        <f>'Cash Flow Statement'!D28</f>
        <v>-207</v>
      </c>
      <c r="J55" s="116">
        <f>'Cash Flow Statement'!E28</f>
        <v>-199</v>
      </c>
      <c r="K55" s="116">
        <f>'Cash Flow Statement'!F28</f>
        <v>-221</v>
      </c>
      <c r="L55" s="54">
        <f>-1*'Inputs and Driver'!K43*Model!L6</f>
        <v>-234.6474</v>
      </c>
      <c r="M55" s="54">
        <f>-1*'Inputs and Driver'!L43*Model!M6</f>
        <v>-245.34805750000007</v>
      </c>
      <c r="N55" s="54">
        <f>-1*'Inputs and Driver'!M43*Model!N6</f>
        <v>-243.96578370666671</v>
      </c>
      <c r="O55" s="54">
        <f>-1*'Inputs and Driver'!N43*Model!O6</f>
        <v>-248.17641556565007</v>
      </c>
      <c r="P55" s="54">
        <f>-1*'Inputs and Driver'!O43*Model!P6</f>
        <v>-255.10726103889871</v>
      </c>
      <c r="Q55" s="54">
        <f>-1*'Inputs and Driver'!P43*Model!Q6</f>
        <v>-253.57963396045255</v>
      </c>
      <c r="R55" s="54">
        <f>-1*'Inputs and Driver'!Q43*Model!R6</f>
        <v>-257.66962805658881</v>
      </c>
    </row>
    <row r="56" spans="1:18" x14ac:dyDescent="0.3">
      <c r="A56" s="14"/>
      <c r="B56" s="68" t="s">
        <v>152</v>
      </c>
      <c r="C56" s="20"/>
      <c r="D56" s="18"/>
      <c r="E56" s="20"/>
      <c r="I56" s="116">
        <f>SUM('Cash Flow Statement'!D30:D31)</f>
        <v>-10</v>
      </c>
      <c r="J56" s="116">
        <f>SUM('Cash Flow Statement'!E30:E31)</f>
        <v>-8</v>
      </c>
      <c r="K56" s="116">
        <f>SUM('Cash Flow Statement'!F30:F31)</f>
        <v>258</v>
      </c>
      <c r="L56" s="54">
        <f>'Inputs and Driver'!K39*Model!L6</f>
        <v>78.215800000000016</v>
      </c>
      <c r="M56" s="54">
        <f>'Inputs and Driver'!L39*Model!M6</f>
        <v>70.099445000000017</v>
      </c>
      <c r="N56" s="54">
        <f>'Inputs and Driver'!M39*Model!N6</f>
        <v>57.40371381333334</v>
      </c>
      <c r="O56" s="54">
        <f>'Inputs and Driver'!N39*Model!O6</f>
        <v>45.122984648299997</v>
      </c>
      <c r="P56" s="54">
        <f>'Inputs and Driver'!O39*Model!P6</f>
        <v>31.888407629862325</v>
      </c>
      <c r="Q56" s="54">
        <f>'Inputs and Driver'!P39*Model!Q6</f>
        <v>16.359976384545309</v>
      </c>
      <c r="R56" s="54">
        <f>'Inputs and Driver'!Q39*Model!R6</f>
        <v>0</v>
      </c>
    </row>
    <row r="57" spans="1:18" x14ac:dyDescent="0.3">
      <c r="A57" s="14"/>
      <c r="B57" s="38" t="s">
        <v>197</v>
      </c>
      <c r="C57" s="20"/>
      <c r="D57" s="18"/>
      <c r="E57" s="20"/>
      <c r="I57" s="117">
        <f>SUM(I55:I56)</f>
        <v>-217</v>
      </c>
      <c r="J57" s="117">
        <f t="shared" ref="J57:K57" si="47">SUM(J55:J56)</f>
        <v>-207</v>
      </c>
      <c r="K57" s="117">
        <f t="shared" si="47"/>
        <v>37</v>
      </c>
      <c r="L57" s="54">
        <f>SUM(L55:L56)</f>
        <v>-156.4316</v>
      </c>
      <c r="M57" s="54">
        <f t="shared" ref="M57:Q57" si="48">SUM(M55:M56)</f>
        <v>-175.24861250000004</v>
      </c>
      <c r="N57" s="54">
        <f t="shared" si="48"/>
        <v>-186.56206989333339</v>
      </c>
      <c r="O57" s="54">
        <f t="shared" si="48"/>
        <v>-203.05343091735008</v>
      </c>
      <c r="P57" s="54">
        <f t="shared" si="48"/>
        <v>-223.2188534090364</v>
      </c>
      <c r="Q57" s="54">
        <f t="shared" si="48"/>
        <v>-237.21965757590723</v>
      </c>
      <c r="R57" s="54">
        <f t="shared" ref="R57" si="49">SUM(R55:R56)</f>
        <v>-257.66962805658881</v>
      </c>
    </row>
    <row r="58" spans="1:18" x14ac:dyDescent="0.3">
      <c r="A58" s="14"/>
      <c r="B58" s="67"/>
      <c r="C58" s="18"/>
      <c r="D58" s="20"/>
      <c r="E58" s="18"/>
    </row>
    <row r="59" spans="1:18" x14ac:dyDescent="0.3">
      <c r="B59" s="38" t="s">
        <v>198</v>
      </c>
    </row>
    <row r="60" spans="1:18" x14ac:dyDescent="0.3">
      <c r="B60" t="s">
        <v>199</v>
      </c>
      <c r="I60" s="70"/>
      <c r="J60" s="70"/>
      <c r="K60" s="70"/>
      <c r="L60" s="54">
        <f>L236</f>
        <v>-401.3</v>
      </c>
      <c r="M60" s="54">
        <f>M236</f>
        <v>-1499</v>
      </c>
      <c r="N60" s="144">
        <v>0</v>
      </c>
      <c r="O60" s="144">
        <v>0</v>
      </c>
      <c r="P60" s="144">
        <v>0</v>
      </c>
      <c r="Q60" s="144">
        <v>0</v>
      </c>
      <c r="R60" s="144">
        <v>0</v>
      </c>
    </row>
    <row r="61" spans="1:18" x14ac:dyDescent="0.3">
      <c r="B61" t="s">
        <v>200</v>
      </c>
      <c r="I61" s="70"/>
      <c r="J61" s="70"/>
      <c r="K61" s="70"/>
      <c r="L61" s="54"/>
      <c r="M61" s="54">
        <f>-1*('Transaction Details'!C15)</f>
        <v>-52362.03</v>
      </c>
      <c r="N61" s="144">
        <v>0</v>
      </c>
      <c r="O61" s="144">
        <v>0</v>
      </c>
      <c r="P61" s="144">
        <v>0</v>
      </c>
      <c r="Q61" s="144">
        <v>0</v>
      </c>
      <c r="R61" s="144">
        <v>0</v>
      </c>
    </row>
    <row r="62" spans="1:18" x14ac:dyDescent="0.3">
      <c r="B62" t="s">
        <v>201</v>
      </c>
      <c r="I62" s="70"/>
      <c r="J62" s="70"/>
      <c r="K62" s="70"/>
      <c r="L62" s="144">
        <v>0</v>
      </c>
      <c r="M62" s="54">
        <f ca="1">M154</f>
        <v>0</v>
      </c>
      <c r="N62" s="54">
        <f t="shared" ref="N62:Q62" ca="1" si="50">N154</f>
        <v>0</v>
      </c>
      <c r="O62" s="54">
        <f t="shared" ca="1" si="50"/>
        <v>0</v>
      </c>
      <c r="P62" s="54">
        <f t="shared" ca="1" si="50"/>
        <v>0</v>
      </c>
      <c r="Q62" s="54">
        <f t="shared" ca="1" si="50"/>
        <v>0</v>
      </c>
      <c r="R62" s="54">
        <f t="shared" ref="R62" ca="1" si="51">R154</f>
        <v>0</v>
      </c>
    </row>
    <row r="63" spans="1:18" x14ac:dyDescent="0.3">
      <c r="B63" t="s">
        <v>202</v>
      </c>
      <c r="I63" s="70"/>
      <c r="J63" s="70"/>
      <c r="K63" s="70"/>
      <c r="L63" s="144">
        <v>0</v>
      </c>
      <c r="M63" s="54">
        <f>'Transaction Details'!$F$9+M204</f>
        <v>1982.4444444444443</v>
      </c>
      <c r="N63" s="54">
        <f ca="1">SUM(N204:N205)</f>
        <v>-19.824444444444445</v>
      </c>
      <c r="O63" s="54">
        <f t="shared" ref="O63:R63" ca="1" si="52">SUM(O204:O205)</f>
        <v>-19.626200000000001</v>
      </c>
      <c r="P63" s="54">
        <f t="shared" ca="1" si="52"/>
        <v>-19.429938</v>
      </c>
      <c r="Q63" s="54">
        <f t="shared" ca="1" si="52"/>
        <v>-19.23563862</v>
      </c>
      <c r="R63" s="54">
        <f t="shared" ca="1" si="52"/>
        <v>-19.043282233799999</v>
      </c>
    </row>
    <row r="64" spans="1:18" x14ac:dyDescent="0.3">
      <c r="B64" t="s">
        <v>203</v>
      </c>
      <c r="I64" s="70"/>
      <c r="J64" s="70"/>
      <c r="K64" s="70"/>
      <c r="L64" s="144">
        <v>0</v>
      </c>
      <c r="M64" s="54">
        <f ca="1">'Transaction Details'!$F$10+SUM(M186:M187)</f>
        <v>15049.702611575261</v>
      </c>
      <c r="N64" s="54">
        <f ca="1">SUM(N186:N187)</f>
        <v>-2347.8476528796155</v>
      </c>
      <c r="O64" s="54">
        <f t="shared" ref="O64:R64" ca="1" si="53">SUM(O186:O187)</f>
        <v>-1917.4973367654457</v>
      </c>
      <c r="P64" s="54">
        <f t="shared" ca="1" si="53"/>
        <v>-1960.8978420994677</v>
      </c>
      <c r="Q64" s="54">
        <f t="shared" ca="1" si="53"/>
        <v>-2197.8080483445219</v>
      </c>
      <c r="R64" s="54">
        <f t="shared" ca="1" si="53"/>
        <v>-2583.2093813494162</v>
      </c>
    </row>
    <row r="65" spans="1:18" x14ac:dyDescent="0.3">
      <c r="B65" t="s">
        <v>22</v>
      </c>
      <c r="I65" s="70"/>
      <c r="J65" s="70"/>
      <c r="K65" s="70"/>
      <c r="L65" s="144">
        <v>0</v>
      </c>
      <c r="M65" s="54">
        <f>'Transaction Details'!$F$11</f>
        <v>30816</v>
      </c>
      <c r="N65" s="144">
        <v>0</v>
      </c>
      <c r="O65" s="144">
        <v>0</v>
      </c>
      <c r="P65" s="144">
        <v>0</v>
      </c>
      <c r="Q65" s="144">
        <v>0</v>
      </c>
      <c r="R65" s="144">
        <v>0</v>
      </c>
    </row>
    <row r="66" spans="1:18" x14ac:dyDescent="0.3">
      <c r="B66" t="s">
        <v>25</v>
      </c>
      <c r="I66" s="70"/>
      <c r="J66" s="70"/>
      <c r="K66" s="70"/>
      <c r="L66" s="144">
        <v>0</v>
      </c>
      <c r="M66" s="54">
        <f>'Transaction Details'!$F$12</f>
        <v>5183.8409700000002</v>
      </c>
      <c r="N66" s="144">
        <v>0</v>
      </c>
      <c r="O66" s="144">
        <v>0</v>
      </c>
      <c r="P66" s="144">
        <v>0</v>
      </c>
      <c r="Q66" s="144">
        <v>0</v>
      </c>
      <c r="R66" s="144">
        <v>0</v>
      </c>
    </row>
    <row r="67" spans="1:18" x14ac:dyDescent="0.3">
      <c r="B67" t="s">
        <v>204</v>
      </c>
      <c r="I67" s="70"/>
      <c r="J67" s="70"/>
      <c r="K67" s="70"/>
      <c r="L67" s="116">
        <v>-2500</v>
      </c>
      <c r="M67" s="144">
        <v>0</v>
      </c>
      <c r="N67" s="144">
        <v>0</v>
      </c>
      <c r="O67" s="144">
        <v>0</v>
      </c>
      <c r="P67" s="144">
        <v>0</v>
      </c>
      <c r="Q67" s="144">
        <v>0</v>
      </c>
      <c r="R67" s="144">
        <v>0</v>
      </c>
    </row>
    <row r="68" spans="1:18" x14ac:dyDescent="0.3">
      <c r="B68" t="s">
        <v>205</v>
      </c>
      <c r="I68" s="70"/>
      <c r="J68" s="70"/>
      <c r="K68" s="70"/>
      <c r="L68" s="144">
        <v>0</v>
      </c>
      <c r="M68" s="174">
        <v>1000</v>
      </c>
      <c r="N68" s="144">
        <v>0</v>
      </c>
      <c r="O68" s="144">
        <v>0</v>
      </c>
      <c r="P68" s="144">
        <v>0</v>
      </c>
      <c r="Q68" s="144">
        <v>0</v>
      </c>
      <c r="R68" s="144">
        <v>0</v>
      </c>
    </row>
    <row r="69" spans="1:18" x14ac:dyDescent="0.3">
      <c r="B69" t="s">
        <v>89</v>
      </c>
      <c r="I69" s="70"/>
      <c r="J69" s="70"/>
      <c r="K69" s="70"/>
      <c r="L69" s="144">
        <v>0</v>
      </c>
      <c r="M69" s="144">
        <v>0</v>
      </c>
      <c r="N69" s="144">
        <v>0</v>
      </c>
      <c r="O69" s="144">
        <f>'Transaction Details'!C41</f>
        <v>5000</v>
      </c>
      <c r="P69" s="144"/>
      <c r="Q69" s="144"/>
      <c r="R69" s="144"/>
    </row>
    <row r="70" spans="1:18" x14ac:dyDescent="0.3">
      <c r="B70" t="s">
        <v>206</v>
      </c>
      <c r="I70" s="70"/>
      <c r="J70" s="70"/>
      <c r="K70" s="70"/>
      <c r="L70" s="144">
        <v>0</v>
      </c>
      <c r="M70" s="144">
        <v>0</v>
      </c>
      <c r="N70" s="144">
        <v>0</v>
      </c>
      <c r="O70" s="144">
        <f>O229*-1</f>
        <v>-4900</v>
      </c>
      <c r="P70" s="144">
        <v>0</v>
      </c>
      <c r="Q70" s="144">
        <v>0</v>
      </c>
      <c r="R70" s="144">
        <v>0</v>
      </c>
    </row>
    <row r="71" spans="1:18" ht="15" thickBot="1" x14ac:dyDescent="0.35">
      <c r="B71" t="s">
        <v>21</v>
      </c>
      <c r="I71" s="70"/>
      <c r="J71" s="70"/>
      <c r="K71" s="70"/>
      <c r="L71" s="173">
        <v>0</v>
      </c>
      <c r="M71" s="173">
        <f>'Transaction Details'!N10*-1</f>
        <v>-1153.9739999999999</v>
      </c>
      <c r="N71" s="173">
        <v>0</v>
      </c>
      <c r="O71" s="173">
        <f>O224</f>
        <v>-100</v>
      </c>
      <c r="P71" s="173">
        <v>0</v>
      </c>
      <c r="Q71" s="173">
        <v>0</v>
      </c>
      <c r="R71" s="173">
        <v>0</v>
      </c>
    </row>
    <row r="72" spans="1:18" x14ac:dyDescent="0.3">
      <c r="B72" s="38" t="s">
        <v>207</v>
      </c>
      <c r="L72" s="117">
        <f t="shared" ref="L72:R72" si="54">SUM(L60:L71)</f>
        <v>-2901.3</v>
      </c>
      <c r="M72" s="117">
        <f t="shared" ca="1" si="54"/>
        <v>-983.01597398029367</v>
      </c>
      <c r="N72" s="117">
        <f t="shared" ca="1" si="54"/>
        <v>-2367.6720973240599</v>
      </c>
      <c r="O72" s="117">
        <f t="shared" ca="1" si="54"/>
        <v>-1937.1235367654454</v>
      </c>
      <c r="P72" s="117">
        <f t="shared" ca="1" si="54"/>
        <v>-1980.3277800994676</v>
      </c>
      <c r="Q72" s="117">
        <f t="shared" ca="1" si="54"/>
        <v>-2217.0436869645218</v>
      </c>
      <c r="R72" s="117">
        <f t="shared" ca="1" si="54"/>
        <v>-2602.252663583216</v>
      </c>
    </row>
    <row r="74" spans="1:18" x14ac:dyDescent="0.3">
      <c r="B74" s="38" t="s">
        <v>208</v>
      </c>
    </row>
    <row r="75" spans="1:18" x14ac:dyDescent="0.3">
      <c r="B75" t="s">
        <v>209</v>
      </c>
      <c r="L75" s="116">
        <f>'Balance Sheet'!F16</f>
        <v>2136</v>
      </c>
      <c r="M75" s="54">
        <f>L77</f>
        <v>1291.4472255136998</v>
      </c>
      <c r="N75" s="54">
        <f ca="1">M77</f>
        <v>1788.0472105860247</v>
      </c>
      <c r="O75" s="54">
        <f t="shared" ref="O75:R75" ca="1" si="55">N77</f>
        <v>930.62777983019464</v>
      </c>
      <c r="P75" s="54">
        <f t="shared" ca="1" si="55"/>
        <v>881.09158057398918</v>
      </c>
      <c r="Q75" s="54">
        <f t="shared" ca="1" si="55"/>
        <v>972.25830915594793</v>
      </c>
      <c r="R75" s="54">
        <f t="shared" ca="1" si="55"/>
        <v>1129.6642915882787</v>
      </c>
    </row>
    <row r="76" spans="1:18" ht="15" thickBot="1" x14ac:dyDescent="0.35">
      <c r="B76" t="s">
        <v>210</v>
      </c>
      <c r="L76" s="121">
        <f t="shared" ref="L76:R76" si="56">SUM(L52,L57,L72)</f>
        <v>-844.55277448630022</v>
      </c>
      <c r="M76" s="121">
        <f t="shared" ca="1" si="56"/>
        <v>496.5999850723249</v>
      </c>
      <c r="N76" s="121">
        <f t="shared" ca="1" si="56"/>
        <v>-857.41943075583004</v>
      </c>
      <c r="O76" s="121">
        <f t="shared" ca="1" si="56"/>
        <v>-49.536199256205464</v>
      </c>
      <c r="P76" s="121">
        <f t="shared" ca="1" si="56"/>
        <v>91.166728581958751</v>
      </c>
      <c r="Q76" s="121">
        <f t="shared" ca="1" si="56"/>
        <v>157.4059824323308</v>
      </c>
      <c r="R76" s="121">
        <f t="shared" ca="1" si="56"/>
        <v>216.3794329354123</v>
      </c>
    </row>
    <row r="77" spans="1:18" x14ac:dyDescent="0.3">
      <c r="B77" s="38" t="s">
        <v>211</v>
      </c>
      <c r="L77" s="54">
        <f>SUM(L75:L76)</f>
        <v>1291.4472255136998</v>
      </c>
      <c r="M77" s="54">
        <f ca="1">SUM(M75:M76)</f>
        <v>1788.0472105860247</v>
      </c>
      <c r="N77" s="54">
        <f t="shared" ref="N77:Q77" ca="1" si="57">SUM(N75:N76)</f>
        <v>930.62777983019464</v>
      </c>
      <c r="O77" s="54">
        <f t="shared" ca="1" si="57"/>
        <v>881.09158057398918</v>
      </c>
      <c r="P77" s="54">
        <f t="shared" ca="1" si="57"/>
        <v>972.25830915594793</v>
      </c>
      <c r="Q77" s="54">
        <f t="shared" ca="1" si="57"/>
        <v>1129.6642915882787</v>
      </c>
      <c r="R77" s="54">
        <f t="shared" ref="R77" ca="1" si="58">SUM(R75:R76)</f>
        <v>1346.043724523691</v>
      </c>
    </row>
    <row r="80" spans="1:18" ht="18" x14ac:dyDescent="0.35">
      <c r="A80" s="60" t="s">
        <v>135</v>
      </c>
      <c r="B80" s="62" t="s">
        <v>212</v>
      </c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150"/>
    </row>
    <row r="82" spans="1:18" ht="15" thickBot="1" x14ac:dyDescent="0.35">
      <c r="B82" s="3" t="s">
        <v>7</v>
      </c>
      <c r="C82" s="20"/>
      <c r="D82" s="20"/>
      <c r="E82" s="20"/>
      <c r="I82" s="61">
        <v>2023</v>
      </c>
      <c r="J82" s="61">
        <v>2024</v>
      </c>
      <c r="K82" s="64">
        <v>2025</v>
      </c>
      <c r="L82" s="73">
        <f t="shared" ref="L82" si="59">K82+1</f>
        <v>2026</v>
      </c>
      <c r="M82" s="73">
        <f t="shared" ref="M82" si="60">L82+1</f>
        <v>2027</v>
      </c>
      <c r="N82" s="73">
        <f t="shared" ref="N82" si="61">M82+1</f>
        <v>2028</v>
      </c>
      <c r="O82" s="73">
        <f t="shared" ref="O82" si="62">N82+1</f>
        <v>2029</v>
      </c>
      <c r="P82" s="73">
        <f t="shared" ref="P82" si="63">O82+1</f>
        <v>2030</v>
      </c>
      <c r="Q82" s="73">
        <f t="shared" ref="Q82" si="64">P82+1</f>
        <v>2031</v>
      </c>
      <c r="R82" s="73">
        <f>Q82+1</f>
        <v>2032</v>
      </c>
    </row>
    <row r="84" spans="1:18" x14ac:dyDescent="0.3">
      <c r="B84" t="s">
        <v>213</v>
      </c>
      <c r="I84" s="10">
        <f t="shared" ref="I84:R84" si="65">I6</f>
        <v>7426</v>
      </c>
      <c r="J84" s="10">
        <f t="shared" si="65"/>
        <v>7562</v>
      </c>
      <c r="K84" s="10">
        <f t="shared" si="65"/>
        <v>7463</v>
      </c>
      <c r="L84" s="10">
        <f t="shared" si="65"/>
        <v>7821.5800000000008</v>
      </c>
      <c r="M84" s="10">
        <f t="shared" si="65"/>
        <v>8411.9334000000017</v>
      </c>
      <c r="N84" s="10">
        <f t="shared" si="65"/>
        <v>8610.5570720000014</v>
      </c>
      <c r="O84" s="10">
        <f t="shared" si="65"/>
        <v>9024.5969296600015</v>
      </c>
      <c r="P84" s="10">
        <f t="shared" si="65"/>
        <v>9566.5222889587003</v>
      </c>
      <c r="Q84" s="10">
        <f t="shared" si="65"/>
        <v>9815.9858307271934</v>
      </c>
      <c r="R84" s="10">
        <f t="shared" si="65"/>
        <v>10306.785122263553</v>
      </c>
    </row>
    <row r="86" spans="1:18" x14ac:dyDescent="0.3">
      <c r="B86" t="s">
        <v>214</v>
      </c>
      <c r="I86" s="35">
        <f>'Inputs and Driver'!H27</f>
        <v>0.31349313223808239</v>
      </c>
      <c r="J86" s="35">
        <f>'Inputs and Driver'!I27</f>
        <v>0.32002115842369744</v>
      </c>
      <c r="K86" s="35">
        <f>'Inputs and Driver'!J27</f>
        <v>0.34423154227522446</v>
      </c>
      <c r="L86" s="35">
        <f>'Inputs and Driver'!K27</f>
        <v>0.34499999999999997</v>
      </c>
      <c r="M86" s="35">
        <f>'Inputs and Driver'!L27</f>
        <v>0.34499999999999997</v>
      </c>
      <c r="N86" s="35">
        <f>'Inputs and Driver'!M27</f>
        <v>0.33999999999999997</v>
      </c>
      <c r="O86" s="35">
        <f>'Inputs and Driver'!N27</f>
        <v>0.32333333333333331</v>
      </c>
      <c r="P86" s="35">
        <f>'Inputs and Driver'!O27</f>
        <v>0.30666666666666664</v>
      </c>
      <c r="Q86" s="35">
        <f>'Inputs and Driver'!P27</f>
        <v>0.28999999999999998</v>
      </c>
      <c r="R86" s="35">
        <f>'Inputs and Driver'!Q27</f>
        <v>0.27499999999999997</v>
      </c>
    </row>
    <row r="87" spans="1:18" x14ac:dyDescent="0.3">
      <c r="B87" t="s">
        <v>215</v>
      </c>
      <c r="I87" s="35">
        <f>'Inputs and Driver'!H43</f>
        <v>2.7875033665499597E-2</v>
      </c>
      <c r="J87" s="35">
        <f>'Inputs and Driver'!I43</f>
        <v>2.6315789473684209E-2</v>
      </c>
      <c r="K87" s="35">
        <f>'Inputs and Driver'!J43</f>
        <v>2.9612756264236904E-2</v>
      </c>
      <c r="L87" s="35">
        <f>'Inputs and Driver'!K43</f>
        <v>0.03</v>
      </c>
      <c r="M87" s="35">
        <f>'Inputs and Driver'!L43</f>
        <v>2.9166666666666667E-2</v>
      </c>
      <c r="N87" s="35">
        <f>'Inputs and Driver'!M43</f>
        <v>2.8333333333333335E-2</v>
      </c>
      <c r="O87" s="35">
        <f>'Inputs and Driver'!N43</f>
        <v>2.7500000000000004E-2</v>
      </c>
      <c r="P87" s="35">
        <f>'Inputs and Driver'!O43</f>
        <v>2.6666666666666672E-2</v>
      </c>
      <c r="Q87" s="35">
        <f>'Inputs and Driver'!P43</f>
        <v>2.583333333333334E-2</v>
      </c>
      <c r="R87" s="35">
        <f>'Inputs and Driver'!Q43</f>
        <v>2.5000000000000001E-2</v>
      </c>
    </row>
    <row r="89" spans="1:18" x14ac:dyDescent="0.3">
      <c r="B89" t="s">
        <v>178</v>
      </c>
      <c r="I89" s="10">
        <f>I84*I86</f>
        <v>2328</v>
      </c>
      <c r="J89" s="10">
        <f t="shared" ref="J89:Q89" si="66">J84*J86</f>
        <v>2420</v>
      </c>
      <c r="K89" s="10">
        <f t="shared" si="66"/>
        <v>2569</v>
      </c>
      <c r="L89" s="10">
        <f t="shared" si="66"/>
        <v>2698.4450999999999</v>
      </c>
      <c r="M89" s="10">
        <f t="shared" si="66"/>
        <v>2902.1170230000002</v>
      </c>
      <c r="N89" s="10">
        <f t="shared" si="66"/>
        <v>2927.5894044800002</v>
      </c>
      <c r="O89" s="10">
        <f t="shared" si="66"/>
        <v>2917.9530072567336</v>
      </c>
      <c r="P89" s="10">
        <f t="shared" si="66"/>
        <v>2933.7335019473344</v>
      </c>
      <c r="Q89" s="10">
        <f t="shared" si="66"/>
        <v>2846.6358909108858</v>
      </c>
      <c r="R89" s="10">
        <f t="shared" ref="R89" si="67">R84*R86</f>
        <v>2834.3659086224766</v>
      </c>
    </row>
    <row r="90" spans="1:18" x14ac:dyDescent="0.3">
      <c r="B90" t="s">
        <v>45</v>
      </c>
      <c r="I90" s="10">
        <f>I84*I87</f>
        <v>207</v>
      </c>
      <c r="J90" s="10">
        <f t="shared" ref="J90:Q90" si="68">J84*J87</f>
        <v>199</v>
      </c>
      <c r="K90" s="10">
        <f t="shared" si="68"/>
        <v>221</v>
      </c>
      <c r="L90" s="10">
        <f t="shared" si="68"/>
        <v>234.6474</v>
      </c>
      <c r="M90" s="10">
        <f t="shared" si="68"/>
        <v>245.34805750000007</v>
      </c>
      <c r="N90" s="10">
        <f t="shared" si="68"/>
        <v>243.96578370666671</v>
      </c>
      <c r="O90" s="10">
        <f t="shared" si="68"/>
        <v>248.17641556565007</v>
      </c>
      <c r="P90" s="10">
        <f t="shared" si="68"/>
        <v>255.10726103889871</v>
      </c>
      <c r="Q90" s="10">
        <f t="shared" si="68"/>
        <v>253.57963396045255</v>
      </c>
      <c r="R90" s="10">
        <f t="shared" ref="R90" si="69">R84*R87</f>
        <v>257.66962805658881</v>
      </c>
    </row>
    <row r="91" spans="1:18" x14ac:dyDescent="0.3">
      <c r="B91" s="38" t="s">
        <v>216</v>
      </c>
      <c r="I91" s="56">
        <f>SUM(I89:I90)</f>
        <v>2535</v>
      </c>
      <c r="J91" s="56">
        <f t="shared" ref="J91:Q91" si="70">SUM(J89:J90)</f>
        <v>2619</v>
      </c>
      <c r="K91" s="56">
        <f t="shared" si="70"/>
        <v>2790</v>
      </c>
      <c r="L91" s="56">
        <f t="shared" si="70"/>
        <v>2933.0924999999997</v>
      </c>
      <c r="M91" s="56">
        <f t="shared" si="70"/>
        <v>3147.4650805000001</v>
      </c>
      <c r="N91" s="56">
        <f t="shared" si="70"/>
        <v>3171.5551881866668</v>
      </c>
      <c r="O91" s="56">
        <f t="shared" si="70"/>
        <v>3166.1294228223837</v>
      </c>
      <c r="P91" s="56">
        <f t="shared" si="70"/>
        <v>3188.8407629862331</v>
      </c>
      <c r="Q91" s="56">
        <f t="shared" si="70"/>
        <v>3100.2155248713384</v>
      </c>
      <c r="R91" s="56">
        <f t="shared" ref="R91" si="71">SUM(R89:R90)</f>
        <v>3092.0355366790654</v>
      </c>
    </row>
    <row r="93" spans="1:18" ht="18" x14ac:dyDescent="0.35">
      <c r="A93" s="60" t="s">
        <v>135</v>
      </c>
      <c r="B93" s="62" t="s">
        <v>217</v>
      </c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150"/>
    </row>
    <row r="95" spans="1:18" ht="15" thickBot="1" x14ac:dyDescent="0.35">
      <c r="B95" s="3" t="s">
        <v>7</v>
      </c>
      <c r="C95" s="20"/>
      <c r="D95" s="20"/>
      <c r="E95" s="20"/>
      <c r="I95" s="61">
        <v>2023</v>
      </c>
      <c r="J95" s="61">
        <v>2024</v>
      </c>
      <c r="K95" s="64">
        <v>2025</v>
      </c>
      <c r="L95" s="73">
        <f t="shared" ref="L95" si="72">K95+1</f>
        <v>2026</v>
      </c>
      <c r="M95" s="73">
        <f t="shared" ref="M95" si="73">L95+1</f>
        <v>2027</v>
      </c>
      <c r="N95" s="73">
        <f t="shared" ref="N95" si="74">M95+1</f>
        <v>2028</v>
      </c>
      <c r="O95" s="73">
        <f t="shared" ref="O95" si="75">N95+1</f>
        <v>2029</v>
      </c>
      <c r="P95" s="73">
        <f t="shared" ref="P95" si="76">O95+1</f>
        <v>2030</v>
      </c>
      <c r="Q95" s="73">
        <f t="shared" ref="Q95" si="77">P95+1</f>
        <v>2031</v>
      </c>
      <c r="R95" s="73">
        <f>Q95+1</f>
        <v>2032</v>
      </c>
    </row>
    <row r="97" spans="2:18" x14ac:dyDescent="0.3">
      <c r="B97" t="s">
        <v>118</v>
      </c>
      <c r="I97" s="9">
        <v>365</v>
      </c>
      <c r="J97" s="9">
        <v>365</v>
      </c>
      <c r="K97" s="9">
        <v>365</v>
      </c>
      <c r="L97" s="9">
        <v>365</v>
      </c>
      <c r="M97" s="9">
        <v>365</v>
      </c>
      <c r="N97" s="9">
        <v>365</v>
      </c>
      <c r="O97" s="9">
        <v>365</v>
      </c>
      <c r="P97" s="9">
        <v>365</v>
      </c>
      <c r="Q97" s="9">
        <v>365</v>
      </c>
      <c r="R97" s="9">
        <v>365</v>
      </c>
    </row>
    <row r="98" spans="2:18" x14ac:dyDescent="0.3">
      <c r="B98" t="s">
        <v>218</v>
      </c>
      <c r="I98" s="10">
        <f t="shared" ref="I98:R98" si="78">I6</f>
        <v>7426</v>
      </c>
      <c r="J98" s="10">
        <f t="shared" si="78"/>
        <v>7562</v>
      </c>
      <c r="K98" s="10">
        <f t="shared" si="78"/>
        <v>7463</v>
      </c>
      <c r="L98" s="10">
        <f t="shared" si="78"/>
        <v>7821.5800000000008</v>
      </c>
      <c r="M98" s="10">
        <f t="shared" si="78"/>
        <v>8411.9334000000017</v>
      </c>
      <c r="N98" s="10">
        <f t="shared" si="78"/>
        <v>8610.5570720000014</v>
      </c>
      <c r="O98" s="10">
        <f t="shared" si="78"/>
        <v>9024.5969296600015</v>
      </c>
      <c r="P98" s="10">
        <f t="shared" si="78"/>
        <v>9566.5222889587003</v>
      </c>
      <c r="Q98" s="10">
        <f t="shared" si="78"/>
        <v>9815.9858307271934</v>
      </c>
      <c r="R98" s="10">
        <f t="shared" si="78"/>
        <v>10306.785122263553</v>
      </c>
    </row>
    <row r="99" spans="2:18" x14ac:dyDescent="0.3">
      <c r="B99" t="s">
        <v>219</v>
      </c>
      <c r="I99" s="54">
        <f t="shared" ref="I99:R99" si="79">I22</f>
        <v>-1780</v>
      </c>
      <c r="J99" s="54">
        <f t="shared" si="79"/>
        <v>-1693</v>
      </c>
      <c r="K99" s="54">
        <f t="shared" si="79"/>
        <v>-1543</v>
      </c>
      <c r="L99" s="54">
        <f t="shared" si="79"/>
        <v>-1720.7476000000001</v>
      </c>
      <c r="M99" s="54">
        <f t="shared" si="79"/>
        <v>-1850.6253480000005</v>
      </c>
      <c r="N99" s="54">
        <f t="shared" ca="1" si="79"/>
        <v>-1872.7961631800483</v>
      </c>
      <c r="O99" s="54">
        <f t="shared" ca="1" si="79"/>
        <v>-1940.2883399189243</v>
      </c>
      <c r="P99" s="54">
        <f t="shared" ca="1" si="79"/>
        <v>-2032.885986470545</v>
      </c>
      <c r="Q99" s="54">
        <f t="shared" ca="1" si="79"/>
        <v>-2061.3570245441288</v>
      </c>
      <c r="R99" s="54">
        <f t="shared" ca="1" si="79"/>
        <v>-2087.1239873543586</v>
      </c>
    </row>
    <row r="101" spans="2:18" x14ac:dyDescent="0.3">
      <c r="B101" t="s">
        <v>220</v>
      </c>
      <c r="I101" s="293">
        <f>'Inputs and Driver'!H52</f>
        <v>33.619714516563427</v>
      </c>
      <c r="J101" s="294">
        <f>'Inputs and Driver'!I52</f>
        <v>27.271224543771488</v>
      </c>
      <c r="K101" s="294">
        <f>'Inputs and Driver'!J52</f>
        <v>33.208495243199785</v>
      </c>
      <c r="L101" s="294">
        <f>'Inputs and Driver'!K52</f>
        <v>32</v>
      </c>
      <c r="M101" s="294">
        <f>'Inputs and Driver'!L52</f>
        <v>31.083333333333332</v>
      </c>
      <c r="N101" s="294">
        <f>'Inputs and Driver'!M52</f>
        <v>30.166666666666664</v>
      </c>
      <c r="O101" s="294">
        <f>'Inputs and Driver'!N52</f>
        <v>29.249999999999996</v>
      </c>
      <c r="P101" s="294">
        <f>'Inputs and Driver'!O52</f>
        <v>28.333333333333329</v>
      </c>
      <c r="Q101" s="294">
        <f>'Inputs and Driver'!P52</f>
        <v>27.416666666666661</v>
      </c>
      <c r="R101" s="295">
        <f>'Inputs and Driver'!Q52</f>
        <v>26.5</v>
      </c>
    </row>
    <row r="102" spans="2:18" x14ac:dyDescent="0.3">
      <c r="B102" t="s">
        <v>221</v>
      </c>
      <c r="I102" s="296">
        <f>'Inputs and Driver'!H53</f>
        <v>20.30056179775281</v>
      </c>
      <c r="J102" s="108">
        <f>'Inputs and Driver'!I53</f>
        <v>23.715298287064382</v>
      </c>
      <c r="K102" s="108">
        <f>'Inputs and Driver'!J53</f>
        <v>24.83797796500324</v>
      </c>
      <c r="L102" s="108">
        <f>'Inputs and Driver'!K53</f>
        <v>25</v>
      </c>
      <c r="M102" s="108">
        <f>'Inputs and Driver'!L53</f>
        <v>25.416666666666668</v>
      </c>
      <c r="N102" s="108">
        <f>'Inputs and Driver'!M53</f>
        <v>25.833333333333336</v>
      </c>
      <c r="O102" s="108">
        <f>'Inputs and Driver'!N53</f>
        <v>26.250000000000004</v>
      </c>
      <c r="P102" s="108">
        <f>'Inputs and Driver'!O53</f>
        <v>26.666666666666671</v>
      </c>
      <c r="Q102" s="108">
        <f>'Inputs and Driver'!P53</f>
        <v>27.083333333333339</v>
      </c>
      <c r="R102" s="297">
        <f>'Inputs and Driver'!Q53</f>
        <v>27.5</v>
      </c>
    </row>
    <row r="103" spans="2:18" x14ac:dyDescent="0.3">
      <c r="B103" t="s">
        <v>222</v>
      </c>
      <c r="I103" s="298">
        <f>'Inputs and Driver'!H54</f>
        <v>5.8988764044943819E-2</v>
      </c>
      <c r="J103" s="114">
        <f>'Inputs and Driver'!I54</f>
        <v>5.7885410513880686E-2</v>
      </c>
      <c r="K103" s="114">
        <f>'Inputs and Driver'!J54</f>
        <v>3.5644847699287101E-2</v>
      </c>
      <c r="L103" s="114">
        <f>'Inputs and Driver'!K54</f>
        <v>4.4999999999999998E-2</v>
      </c>
      <c r="M103" s="114">
        <f>'Inputs and Driver'!L54</f>
        <v>4.2499999999999996E-2</v>
      </c>
      <c r="N103" s="114">
        <f>'Inputs and Driver'!M54</f>
        <v>3.9999999999999994E-2</v>
      </c>
      <c r="O103" s="114">
        <f>'Inputs and Driver'!N54</f>
        <v>3.7499999999999992E-2</v>
      </c>
      <c r="P103" s="114">
        <f>'Inputs and Driver'!O54</f>
        <v>3.4999999999999989E-2</v>
      </c>
      <c r="Q103" s="114">
        <f>'Inputs and Driver'!P54</f>
        <v>3.2499999999999987E-2</v>
      </c>
      <c r="R103" s="299">
        <f>'Inputs and Driver'!Q54</f>
        <v>0.03</v>
      </c>
    </row>
    <row r="104" spans="2:18" x14ac:dyDescent="0.3">
      <c r="B104" t="s">
        <v>223</v>
      </c>
      <c r="I104" s="298">
        <f>'Inputs and Driver'!H55</f>
        <v>0.13816321034204149</v>
      </c>
      <c r="J104" s="114">
        <f>'Inputs and Driver'!I55</f>
        <v>0.12576038085162655</v>
      </c>
      <c r="K104" s="114">
        <f>'Inputs and Driver'!J55</f>
        <v>0.13520032158649337</v>
      </c>
      <c r="L104" s="114">
        <f>'Inputs and Driver'!K55</f>
        <v>0.13500000000000001</v>
      </c>
      <c r="M104" s="114">
        <f>'Inputs and Driver'!L55</f>
        <v>0.13333333333333333</v>
      </c>
      <c r="N104" s="114">
        <f>'Inputs and Driver'!M55</f>
        <v>0.13166666666666665</v>
      </c>
      <c r="O104" s="114">
        <f>'Inputs and Driver'!N55</f>
        <v>0.12999999999999998</v>
      </c>
      <c r="P104" s="114">
        <f>'Inputs and Driver'!O55</f>
        <v>0.1283333333333333</v>
      </c>
      <c r="Q104" s="114">
        <f>'Inputs and Driver'!P55</f>
        <v>0.12666666666666662</v>
      </c>
      <c r="R104" s="299">
        <f>'Inputs and Driver'!Q55</f>
        <v>0.125</v>
      </c>
    </row>
    <row r="105" spans="2:18" x14ac:dyDescent="0.3">
      <c r="B105" t="s">
        <v>224</v>
      </c>
      <c r="I105" s="298">
        <f>'Inputs and Driver'!H56</f>
        <v>0.25599245892809047</v>
      </c>
      <c r="J105" s="114">
        <f>'Inputs and Driver'!I56</f>
        <v>0.23988362866966412</v>
      </c>
      <c r="K105" s="114">
        <f>'Inputs and Driver'!J56</f>
        <v>0.22779043280182232</v>
      </c>
      <c r="L105" s="114">
        <f>'Inputs and Driver'!K56</f>
        <v>0.23499999999999999</v>
      </c>
      <c r="M105" s="114">
        <f>'Inputs and Driver'!L56</f>
        <v>0.23383333333333334</v>
      </c>
      <c r="N105" s="114">
        <f>'Inputs and Driver'!M56</f>
        <v>0.23266666666666669</v>
      </c>
      <c r="O105" s="114">
        <f>'Inputs and Driver'!N56</f>
        <v>0.23150000000000004</v>
      </c>
      <c r="P105" s="114">
        <f>'Inputs and Driver'!O56</f>
        <v>0.23033333333333339</v>
      </c>
      <c r="Q105" s="114">
        <f>'Inputs and Driver'!P56</f>
        <v>0.22916666666666674</v>
      </c>
      <c r="R105" s="299">
        <f>'Inputs and Driver'!Q56</f>
        <v>0.22800000000000001</v>
      </c>
    </row>
    <row r="106" spans="2:18" x14ac:dyDescent="0.3">
      <c r="B106" t="s">
        <v>225</v>
      </c>
      <c r="I106" s="298">
        <f>'Inputs and Driver'!H57</f>
        <v>1.2119579854565042E-2</v>
      </c>
      <c r="J106" s="114">
        <f>'Inputs and Driver'!I57</f>
        <v>1.190161332980693E-2</v>
      </c>
      <c r="K106" s="114">
        <f>'Inputs and Driver'!J57</f>
        <v>1.125552726785475E-2</v>
      </c>
      <c r="L106" s="114">
        <f>'Inputs and Driver'!K57</f>
        <v>1.2500000000000001E-2</v>
      </c>
      <c r="M106" s="114">
        <f>'Inputs and Driver'!L57</f>
        <v>1.2083333333333335E-2</v>
      </c>
      <c r="N106" s="114">
        <f>'Inputs and Driver'!M57</f>
        <v>1.1666666666666669E-2</v>
      </c>
      <c r="O106" s="114">
        <f>'Inputs and Driver'!N57</f>
        <v>1.1250000000000003E-2</v>
      </c>
      <c r="P106" s="114">
        <f>'Inputs and Driver'!O57</f>
        <v>1.0833333333333337E-2</v>
      </c>
      <c r="Q106" s="114">
        <f>'Inputs and Driver'!P57</f>
        <v>1.0416666666666671E-2</v>
      </c>
      <c r="R106" s="299">
        <f>'Inputs and Driver'!Q57</f>
        <v>0.01</v>
      </c>
    </row>
    <row r="107" spans="2:18" x14ac:dyDescent="0.3">
      <c r="B107" t="s">
        <v>226</v>
      </c>
      <c r="I107" s="300">
        <f>'Inputs and Driver'!H58</f>
        <v>5.5615405332615137E-2</v>
      </c>
      <c r="J107" s="301">
        <f>'Inputs and Driver'!I58</f>
        <v>4.2581327691087016E-2</v>
      </c>
      <c r="K107" s="301">
        <f>'Inputs and Driver'!J58</f>
        <v>3.9394345437491624E-2</v>
      </c>
      <c r="L107" s="301">
        <f>'Inputs and Driver'!K58</f>
        <v>4.4999999999999998E-2</v>
      </c>
      <c r="M107" s="301">
        <f>'Inputs and Driver'!L58</f>
        <v>4.3999999999999997E-2</v>
      </c>
      <c r="N107" s="301">
        <f>'Inputs and Driver'!M58</f>
        <v>4.2999999999999997E-2</v>
      </c>
      <c r="O107" s="301">
        <f>'Inputs and Driver'!N58</f>
        <v>4.1999999999999996E-2</v>
      </c>
      <c r="P107" s="301">
        <f>'Inputs and Driver'!O58</f>
        <v>4.0999999999999995E-2</v>
      </c>
      <c r="Q107" s="301">
        <f>'Inputs and Driver'!P58</f>
        <v>3.9999999999999994E-2</v>
      </c>
      <c r="R107" s="302">
        <f>'Inputs and Driver'!Q58</f>
        <v>3.9E-2</v>
      </c>
    </row>
    <row r="109" spans="2:18" x14ac:dyDescent="0.3">
      <c r="B109" s="38" t="s">
        <v>227</v>
      </c>
    </row>
    <row r="111" spans="2:18" x14ac:dyDescent="0.3">
      <c r="B111" t="s">
        <v>160</v>
      </c>
      <c r="I111" s="54">
        <f>(I101/I97)*I98</f>
        <v>684</v>
      </c>
      <c r="J111" s="54">
        <f t="shared" ref="J111:K111" si="80">(J101/J97)*J98</f>
        <v>565</v>
      </c>
      <c r="K111" s="54">
        <f t="shared" si="80"/>
        <v>679</v>
      </c>
      <c r="L111" s="54">
        <f t="shared" ref="L111:Q111" si="81">(L101/L97)*L98</f>
        <v>685.72756164383566</v>
      </c>
      <c r="M111" s="54">
        <f t="shared" si="81"/>
        <v>716.35871191780825</v>
      </c>
      <c r="N111" s="54">
        <f t="shared" si="81"/>
        <v>711.6487808365298</v>
      </c>
      <c r="O111" s="54">
        <f t="shared" si="81"/>
        <v>723.20400052754792</v>
      </c>
      <c r="P111" s="54">
        <f t="shared" si="81"/>
        <v>742.60675302419122</v>
      </c>
      <c r="Q111" s="54">
        <f t="shared" si="81"/>
        <v>737.31948363224797</v>
      </c>
      <c r="R111" s="54">
        <f t="shared" ref="R111" si="82">(R101/R97)*R98</f>
        <v>748.30083764379208</v>
      </c>
    </row>
    <row r="112" spans="2:18" x14ac:dyDescent="0.3">
      <c r="B112" t="s">
        <v>162</v>
      </c>
      <c r="I112" s="54">
        <f>(I102/I97)*I99*-1</f>
        <v>99</v>
      </c>
      <c r="J112" s="54">
        <f t="shared" ref="J112:K112" si="83">(J102/J97)*J99*-1</f>
        <v>110</v>
      </c>
      <c r="K112" s="54">
        <f t="shared" si="83"/>
        <v>105</v>
      </c>
      <c r="L112" s="54">
        <f t="shared" ref="L112:Q112" si="84">(L102/L97)*L99*-1</f>
        <v>117.85942465753425</v>
      </c>
      <c r="M112" s="54">
        <f t="shared" si="84"/>
        <v>128.86774683561649</v>
      </c>
      <c r="N112" s="54">
        <f t="shared" ca="1" si="84"/>
        <v>132.54950013374773</v>
      </c>
      <c r="O112" s="54">
        <f t="shared" ca="1" si="84"/>
        <v>139.54128472019664</v>
      </c>
      <c r="P112" s="54">
        <f t="shared" ca="1" si="84"/>
        <v>148.5213506097202</v>
      </c>
      <c r="Q112" s="54">
        <f t="shared" ca="1" si="84"/>
        <v>152.95457373900501</v>
      </c>
      <c r="R112" s="54">
        <f t="shared" ref="R112" ca="1" si="85">(R102/R97)*R99*-1</f>
        <v>157.24906754039688</v>
      </c>
    </row>
    <row r="113" spans="1:18" x14ac:dyDescent="0.3">
      <c r="B113" t="s">
        <v>228</v>
      </c>
      <c r="I113" s="54">
        <f>I103*I99*-1</f>
        <v>105</v>
      </c>
      <c r="J113" s="54">
        <f t="shared" ref="J113:Q113" si="86">J103*J99*-1</f>
        <v>98</v>
      </c>
      <c r="K113" s="54">
        <f t="shared" si="86"/>
        <v>55</v>
      </c>
      <c r="L113" s="54">
        <f t="shared" si="86"/>
        <v>77.433642000000006</v>
      </c>
      <c r="M113" s="54">
        <f t="shared" si="86"/>
        <v>78.65157729000002</v>
      </c>
      <c r="N113" s="54">
        <f t="shared" ca="1" si="86"/>
        <v>74.911846527201917</v>
      </c>
      <c r="O113" s="54">
        <f t="shared" ca="1" si="86"/>
        <v>72.760812746959644</v>
      </c>
      <c r="P113" s="54">
        <f t="shared" ca="1" si="86"/>
        <v>71.151009526469053</v>
      </c>
      <c r="Q113" s="54">
        <f t="shared" ca="1" si="86"/>
        <v>66.994103297684163</v>
      </c>
      <c r="R113" s="54">
        <f t="shared" ref="R113" ca="1" si="87">R103*R99*-1</f>
        <v>62.613719620630754</v>
      </c>
    </row>
    <row r="114" spans="1:18" x14ac:dyDescent="0.3">
      <c r="B114" t="s">
        <v>229</v>
      </c>
      <c r="I114" s="54">
        <f>I104*I98</f>
        <v>1026</v>
      </c>
      <c r="J114" s="54">
        <f t="shared" ref="J114:Q114" si="88">J104*J98</f>
        <v>951</v>
      </c>
      <c r="K114" s="54">
        <f t="shared" si="88"/>
        <v>1009</v>
      </c>
      <c r="L114" s="54">
        <f t="shared" si="88"/>
        <v>1055.9133000000002</v>
      </c>
      <c r="M114" s="54">
        <f t="shared" si="88"/>
        <v>1121.5911200000003</v>
      </c>
      <c r="N114" s="54">
        <f t="shared" si="88"/>
        <v>1133.7233478133335</v>
      </c>
      <c r="O114" s="54">
        <f t="shared" si="88"/>
        <v>1173.1976008557999</v>
      </c>
      <c r="P114" s="54">
        <f t="shared" si="88"/>
        <v>1227.7036937496996</v>
      </c>
      <c r="Q114" s="54">
        <f t="shared" si="88"/>
        <v>1243.358205225444</v>
      </c>
      <c r="R114" s="54">
        <f t="shared" ref="R114" si="89">R104*R98</f>
        <v>1288.3481402829441</v>
      </c>
    </row>
    <row r="115" spans="1:18" x14ac:dyDescent="0.3">
      <c r="B115" t="s">
        <v>165</v>
      </c>
      <c r="I115" s="54">
        <f>I105*I98</f>
        <v>1900.9999999999998</v>
      </c>
      <c r="J115" s="54">
        <f t="shared" ref="J115:Q115" si="90">J105*J98</f>
        <v>1814</v>
      </c>
      <c r="K115" s="54">
        <f t="shared" si="90"/>
        <v>1700</v>
      </c>
      <c r="L115" s="54">
        <f t="shared" si="90"/>
        <v>1838.0713000000001</v>
      </c>
      <c r="M115" s="54">
        <f t="shared" si="90"/>
        <v>1966.9904267000004</v>
      </c>
      <c r="N115" s="54">
        <f t="shared" si="90"/>
        <v>2003.3896120853337</v>
      </c>
      <c r="O115" s="54">
        <f t="shared" si="90"/>
        <v>2089.1941892162909</v>
      </c>
      <c r="P115" s="54">
        <f t="shared" si="90"/>
        <v>2203.4889672234876</v>
      </c>
      <c r="Q115" s="54">
        <f t="shared" si="90"/>
        <v>2249.4967528749826</v>
      </c>
      <c r="R115" s="54">
        <f t="shared" ref="R115" si="91">R105*R98</f>
        <v>2349.9470078760901</v>
      </c>
    </row>
    <row r="116" spans="1:18" x14ac:dyDescent="0.3">
      <c r="B116" t="s">
        <v>230</v>
      </c>
      <c r="I116" s="54">
        <f>I106*I98</f>
        <v>90</v>
      </c>
      <c r="J116" s="54">
        <f t="shared" ref="J116:Q116" si="92">J106*J98</f>
        <v>90</v>
      </c>
      <c r="K116" s="54">
        <f t="shared" si="92"/>
        <v>84</v>
      </c>
      <c r="L116" s="54">
        <f t="shared" si="92"/>
        <v>97.769750000000016</v>
      </c>
      <c r="M116" s="54">
        <f t="shared" si="92"/>
        <v>101.64419525000004</v>
      </c>
      <c r="N116" s="54">
        <f t="shared" si="92"/>
        <v>100.45649917333337</v>
      </c>
      <c r="O116" s="54">
        <f t="shared" si="92"/>
        <v>101.52671545867504</v>
      </c>
      <c r="P116" s="54">
        <f t="shared" si="92"/>
        <v>103.63732479705263</v>
      </c>
      <c r="Q116" s="54">
        <f t="shared" si="92"/>
        <v>102.24985240340831</v>
      </c>
      <c r="R116" s="54">
        <f t="shared" ref="R116" si="93">R106*R98</f>
        <v>103.06785122263553</v>
      </c>
    </row>
    <row r="117" spans="1:18" x14ac:dyDescent="0.3">
      <c r="B117" t="s">
        <v>167</v>
      </c>
      <c r="I117" s="54">
        <f>I107*I98</f>
        <v>413</v>
      </c>
      <c r="J117" s="54">
        <f t="shared" ref="J117:Q117" si="94">J107*J98</f>
        <v>322</v>
      </c>
      <c r="K117" s="54">
        <f t="shared" si="94"/>
        <v>294</v>
      </c>
      <c r="L117" s="54">
        <f t="shared" si="94"/>
        <v>351.97110000000004</v>
      </c>
      <c r="M117" s="54">
        <f t="shared" si="94"/>
        <v>370.12506960000007</v>
      </c>
      <c r="N117" s="54">
        <f t="shared" si="94"/>
        <v>370.25395409600003</v>
      </c>
      <c r="O117" s="54">
        <f t="shared" si="94"/>
        <v>379.03307104572002</v>
      </c>
      <c r="P117" s="54">
        <f t="shared" si="94"/>
        <v>392.22741384730665</v>
      </c>
      <c r="Q117" s="54">
        <f t="shared" si="94"/>
        <v>392.63943322908767</v>
      </c>
      <c r="R117" s="54">
        <f t="shared" ref="R117" si="95">R107*R98</f>
        <v>401.96461976827857</v>
      </c>
    </row>
    <row r="118" spans="1:18" x14ac:dyDescent="0.3">
      <c r="I118" s="54"/>
      <c r="J118" s="54"/>
      <c r="K118" s="54"/>
      <c r="L118" s="54"/>
      <c r="M118" s="54"/>
      <c r="N118" s="54"/>
      <c r="O118" s="54"/>
      <c r="P118" s="54"/>
      <c r="Q118" s="54"/>
      <c r="R118" s="54"/>
    </row>
    <row r="119" spans="1:18" x14ac:dyDescent="0.3">
      <c r="B119" t="s">
        <v>231</v>
      </c>
      <c r="I119" s="54">
        <f>SUM(I111,I113,I117)</f>
        <v>1202</v>
      </c>
      <c r="J119" s="54">
        <f t="shared" ref="J119:Q119" si="96">SUM(J111,J113,J117)</f>
        <v>985</v>
      </c>
      <c r="K119" s="54">
        <f t="shared" si="96"/>
        <v>1028</v>
      </c>
      <c r="L119" s="54">
        <f t="shared" si="96"/>
        <v>1115.1323036438357</v>
      </c>
      <c r="M119" s="54">
        <f t="shared" si="96"/>
        <v>1165.1353588078082</v>
      </c>
      <c r="N119" s="54">
        <f t="shared" ca="1" si="96"/>
        <v>1156.8145814597317</v>
      </c>
      <c r="O119" s="54">
        <f t="shared" ca="1" si="96"/>
        <v>1174.9978843202275</v>
      </c>
      <c r="P119" s="54">
        <f t="shared" ca="1" si="96"/>
        <v>1205.9851763979668</v>
      </c>
      <c r="Q119" s="54">
        <f t="shared" ca="1" si="96"/>
        <v>1196.9530201590198</v>
      </c>
      <c r="R119" s="54">
        <f t="shared" ref="R119" ca="1" si="97">SUM(R111,R113,R117)</f>
        <v>1212.8791770327014</v>
      </c>
    </row>
    <row r="120" spans="1:18" x14ac:dyDescent="0.3">
      <c r="B120" t="s">
        <v>232</v>
      </c>
      <c r="I120" s="54">
        <f>SUM(I112,I114,I115,I117)</f>
        <v>3439</v>
      </c>
      <c r="J120" s="54">
        <f t="shared" ref="J120:Q120" si="98">SUM(J112,J114,J115,J117)</f>
        <v>3197</v>
      </c>
      <c r="K120" s="54">
        <f t="shared" si="98"/>
        <v>3108</v>
      </c>
      <c r="L120" s="54">
        <f t="shared" si="98"/>
        <v>3363.8151246575349</v>
      </c>
      <c r="M120" s="54">
        <f t="shared" si="98"/>
        <v>3587.5743631356177</v>
      </c>
      <c r="N120" s="54">
        <f t="shared" ca="1" si="98"/>
        <v>3639.916414128415</v>
      </c>
      <c r="O120" s="54">
        <f t="shared" ca="1" si="98"/>
        <v>3780.9661458380078</v>
      </c>
      <c r="P120" s="54">
        <f t="shared" ca="1" si="98"/>
        <v>3971.9414254302142</v>
      </c>
      <c r="Q120" s="54">
        <f t="shared" ca="1" si="98"/>
        <v>4038.4489650685191</v>
      </c>
      <c r="R120" s="54">
        <f t="shared" ref="R120" ca="1" si="99">SUM(R112,R114,R115,R117)</f>
        <v>4197.50883546771</v>
      </c>
    </row>
    <row r="121" spans="1:18" x14ac:dyDescent="0.3">
      <c r="B121" s="38" t="s">
        <v>233</v>
      </c>
      <c r="I121" s="117">
        <f>I119-I120</f>
        <v>-2237</v>
      </c>
      <c r="J121" s="117">
        <f>J119-J120</f>
        <v>-2212</v>
      </c>
      <c r="K121" s="117">
        <f t="shared" ref="K121:Q121" si="100">K119-K120</f>
        <v>-2080</v>
      </c>
      <c r="L121" s="117">
        <f t="shared" si="100"/>
        <v>-2248.6828210136991</v>
      </c>
      <c r="M121" s="117">
        <f t="shared" si="100"/>
        <v>-2422.4390043278095</v>
      </c>
      <c r="N121" s="117">
        <f t="shared" ca="1" si="100"/>
        <v>-2483.1018326686835</v>
      </c>
      <c r="O121" s="117">
        <f t="shared" ca="1" si="100"/>
        <v>-2605.9682615177803</v>
      </c>
      <c r="P121" s="117">
        <f t="shared" ca="1" si="100"/>
        <v>-2765.9562490322473</v>
      </c>
      <c r="Q121" s="117">
        <f t="shared" ca="1" si="100"/>
        <v>-2841.4959449094995</v>
      </c>
      <c r="R121" s="117">
        <f t="shared" ref="R121" ca="1" si="101">R119-R120</f>
        <v>-2984.6296584350084</v>
      </c>
    </row>
    <row r="122" spans="1:18" x14ac:dyDescent="0.3">
      <c r="I122" s="54"/>
      <c r="J122" s="54"/>
      <c r="K122" s="54"/>
      <c r="L122" s="54"/>
      <c r="M122" s="54"/>
      <c r="N122" s="54"/>
      <c r="O122" s="54"/>
      <c r="P122" s="54"/>
      <c r="Q122" s="54"/>
      <c r="R122" s="54"/>
    </row>
    <row r="123" spans="1:18" ht="15" thickBot="1" x14ac:dyDescent="0.35">
      <c r="B123" s="38" t="s">
        <v>234</v>
      </c>
      <c r="I123" s="54"/>
      <c r="J123" s="287">
        <f>I121-J121</f>
        <v>-25</v>
      </c>
      <c r="K123" s="287">
        <f t="shared" ref="K123:R123" si="102">J121-K121</f>
        <v>-132</v>
      </c>
      <c r="L123" s="287">
        <f t="shared" si="102"/>
        <v>168.68282101369914</v>
      </c>
      <c r="M123" s="287">
        <f t="shared" si="102"/>
        <v>173.75618331411033</v>
      </c>
      <c r="N123" s="287">
        <f t="shared" ca="1" si="102"/>
        <v>60.662828340874057</v>
      </c>
      <c r="O123" s="287">
        <f t="shared" ca="1" si="102"/>
        <v>122.86642884909679</v>
      </c>
      <c r="P123" s="287">
        <f t="shared" ca="1" si="102"/>
        <v>159.98798751446702</v>
      </c>
      <c r="Q123" s="287">
        <f t="shared" ca="1" si="102"/>
        <v>75.539695877252143</v>
      </c>
      <c r="R123" s="287">
        <f t="shared" ca="1" si="102"/>
        <v>143.13371352550894</v>
      </c>
    </row>
    <row r="126" spans="1:18" ht="18" x14ac:dyDescent="0.35">
      <c r="A126" s="60" t="s">
        <v>135</v>
      </c>
      <c r="B126" s="62" t="s">
        <v>235</v>
      </c>
      <c r="C126" s="63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150"/>
    </row>
    <row r="128" spans="1:18" ht="15" thickBot="1" x14ac:dyDescent="0.35">
      <c r="B128" s="3" t="s">
        <v>7</v>
      </c>
      <c r="C128" s="20"/>
      <c r="D128" s="20"/>
      <c r="E128" s="20"/>
      <c r="L128" s="73">
        <f>2026</f>
        <v>2026</v>
      </c>
      <c r="M128" s="73">
        <f t="shared" ref="M128" si="103">L128+1</f>
        <v>2027</v>
      </c>
      <c r="N128" s="73">
        <f t="shared" ref="N128" si="104">M128+1</f>
        <v>2028</v>
      </c>
      <c r="O128" s="73">
        <f t="shared" ref="O128" si="105">N128+1</f>
        <v>2029</v>
      </c>
      <c r="P128" s="73">
        <f t="shared" ref="P128" si="106">O128+1</f>
        <v>2030</v>
      </c>
      <c r="Q128" s="73">
        <f t="shared" ref="Q128" si="107">P128+1</f>
        <v>2031</v>
      </c>
      <c r="R128" s="73">
        <f>Q128+1</f>
        <v>2032</v>
      </c>
    </row>
    <row r="130" spans="1:18" x14ac:dyDescent="0.3">
      <c r="B130" s="38" t="s">
        <v>236</v>
      </c>
    </row>
    <row r="131" spans="1:18" x14ac:dyDescent="0.3">
      <c r="B131" t="s">
        <v>237</v>
      </c>
      <c r="L131" s="86">
        <v>1900</v>
      </c>
      <c r="M131" s="54">
        <f>L133</f>
        <v>1498.7</v>
      </c>
      <c r="N131" s="70"/>
      <c r="O131" s="70"/>
      <c r="P131" s="70"/>
      <c r="Q131" s="119"/>
      <c r="R131" s="119"/>
    </row>
    <row r="132" spans="1:18" x14ac:dyDescent="0.3">
      <c r="B132" t="s">
        <v>238</v>
      </c>
      <c r="L132" s="86">
        <v>-401.3</v>
      </c>
      <c r="M132" s="54">
        <v>-1499</v>
      </c>
      <c r="N132" s="119"/>
      <c r="O132" s="119"/>
      <c r="P132" s="119"/>
      <c r="Q132" s="119"/>
      <c r="R132" s="119"/>
    </row>
    <row r="133" spans="1:18" x14ac:dyDescent="0.3">
      <c r="B133" t="s">
        <v>239</v>
      </c>
      <c r="L133" s="54">
        <f>SUM(L131:L132)</f>
        <v>1498.7</v>
      </c>
      <c r="M133" s="54">
        <f>SUM(M131:M132)</f>
        <v>-0.29999999999995453</v>
      </c>
      <c r="N133" s="70"/>
      <c r="O133" s="70"/>
      <c r="P133" s="70"/>
      <c r="Q133" s="119"/>
      <c r="R133" s="119"/>
    </row>
    <row r="134" spans="1:18" x14ac:dyDescent="0.3">
      <c r="L134" s="54"/>
      <c r="M134" s="54"/>
      <c r="N134" s="54"/>
      <c r="O134" s="54"/>
      <c r="P134" s="54"/>
      <c r="Q134" s="54"/>
    </row>
    <row r="135" spans="1:18" x14ac:dyDescent="0.3">
      <c r="B135" t="s">
        <v>240</v>
      </c>
      <c r="L135" s="265">
        <v>2.9100000000000001E-2</v>
      </c>
      <c r="M135" s="97">
        <f>L135</f>
        <v>2.9100000000000001E-2</v>
      </c>
      <c r="N135" s="119"/>
      <c r="O135" s="119"/>
      <c r="P135" s="119"/>
      <c r="Q135" s="119"/>
      <c r="R135" s="119"/>
    </row>
    <row r="136" spans="1:18" x14ac:dyDescent="0.3">
      <c r="L136" s="54"/>
      <c r="M136" s="54"/>
      <c r="N136" s="54"/>
      <c r="O136" s="54"/>
      <c r="P136" s="54"/>
      <c r="Q136" s="54"/>
    </row>
    <row r="137" spans="1:18" ht="15" thickBot="1" x14ac:dyDescent="0.35">
      <c r="B137" t="s">
        <v>241</v>
      </c>
      <c r="L137" s="121">
        <f>AVERAGE(L131,L133)*L135*-1</f>
        <v>-49.451084999999999</v>
      </c>
      <c r="M137" s="122">
        <f>'Transaction Details'!Q23*Model!M135*Model!M132</f>
        <v>-5.3314433333333344</v>
      </c>
      <c r="N137" s="119"/>
      <c r="O137" s="119"/>
      <c r="P137" s="119"/>
      <c r="Q137" s="119"/>
      <c r="R137" s="119"/>
    </row>
    <row r="140" spans="1:18" ht="18" x14ac:dyDescent="0.35">
      <c r="A140" s="60" t="s">
        <v>135</v>
      </c>
      <c r="B140" s="62" t="s">
        <v>242</v>
      </c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150"/>
    </row>
    <row r="142" spans="1:18" ht="15" thickBot="1" x14ac:dyDescent="0.35">
      <c r="B142" s="3" t="s">
        <v>7</v>
      </c>
      <c r="C142" s="20"/>
      <c r="D142" s="20"/>
      <c r="E142" s="20"/>
      <c r="L142" s="73">
        <f>2026</f>
        <v>2026</v>
      </c>
      <c r="M142" s="73">
        <f t="shared" ref="M142" si="108">L142+1</f>
        <v>2027</v>
      </c>
      <c r="N142" s="73">
        <f t="shared" ref="N142" si="109">M142+1</f>
        <v>2028</v>
      </c>
      <c r="O142" s="73">
        <f t="shared" ref="O142" si="110">N142+1</f>
        <v>2029</v>
      </c>
      <c r="P142" s="73">
        <f t="shared" ref="P142" si="111">O142+1</f>
        <v>2030</v>
      </c>
      <c r="Q142" s="73">
        <f t="shared" ref="Q142" si="112">P142+1</f>
        <v>2031</v>
      </c>
      <c r="R142" s="73">
        <f>Q142+1</f>
        <v>2032</v>
      </c>
    </row>
    <row r="144" spans="1:18" x14ac:dyDescent="0.3">
      <c r="B144" s="38" t="s">
        <v>14</v>
      </c>
    </row>
    <row r="145" spans="2:18" x14ac:dyDescent="0.3">
      <c r="B145" t="s">
        <v>243</v>
      </c>
      <c r="L145" s="81">
        <v>0</v>
      </c>
      <c r="M145" s="54">
        <f>M75</f>
        <v>1291.4472255136998</v>
      </c>
      <c r="N145" s="54">
        <f t="shared" ref="N145:Q145" ca="1" si="113">N75</f>
        <v>1788.0472105860247</v>
      </c>
      <c r="O145" s="54">
        <f t="shared" ca="1" si="113"/>
        <v>930.62777983019464</v>
      </c>
      <c r="P145" s="54">
        <f t="shared" ca="1" si="113"/>
        <v>881.09158057398918</v>
      </c>
      <c r="Q145" s="54">
        <f t="shared" ca="1" si="113"/>
        <v>972.25830915594793</v>
      </c>
      <c r="R145" s="54">
        <f t="shared" ref="R145" ca="1" si="114">R75</f>
        <v>1129.6642915882787</v>
      </c>
    </row>
    <row r="146" spans="2:18" x14ac:dyDescent="0.3">
      <c r="B146" s="71" t="s">
        <v>244</v>
      </c>
      <c r="L146" s="81">
        <v>0</v>
      </c>
      <c r="M146" s="54">
        <f t="shared" ref="M146:R146" ca="1" si="115">M52</f>
        <v>1654.8645715526186</v>
      </c>
      <c r="N146" s="54">
        <f t="shared" ca="1" si="115"/>
        <v>1696.8147364615634</v>
      </c>
      <c r="O146" s="54">
        <f t="shared" ca="1" si="115"/>
        <v>2090.6407684265901</v>
      </c>
      <c r="P146" s="54">
        <f t="shared" ca="1" si="115"/>
        <v>2294.7133620904629</v>
      </c>
      <c r="Q146" s="54">
        <f t="shared" ca="1" si="115"/>
        <v>2611.6693269727598</v>
      </c>
      <c r="R146" s="54">
        <f t="shared" ca="1" si="115"/>
        <v>3076.3017245752171</v>
      </c>
    </row>
    <row r="147" spans="2:18" x14ac:dyDescent="0.3">
      <c r="B147" s="71" t="s">
        <v>196</v>
      </c>
      <c r="L147" s="81">
        <v>0</v>
      </c>
      <c r="M147" s="54">
        <f t="shared" ref="M147:R147" si="116">M57</f>
        <v>-175.24861250000004</v>
      </c>
      <c r="N147" s="54">
        <f t="shared" si="116"/>
        <v>-186.56206989333339</v>
      </c>
      <c r="O147" s="54">
        <f t="shared" si="116"/>
        <v>-203.05343091735008</v>
      </c>
      <c r="P147" s="54">
        <f t="shared" si="116"/>
        <v>-223.2188534090364</v>
      </c>
      <c r="Q147" s="54">
        <f t="shared" si="116"/>
        <v>-237.21965757590723</v>
      </c>
      <c r="R147" s="54">
        <f t="shared" si="116"/>
        <v>-257.66962805658881</v>
      </c>
    </row>
    <row r="148" spans="2:18" x14ac:dyDescent="0.3">
      <c r="B148" s="71" t="s">
        <v>245</v>
      </c>
      <c r="L148" s="81">
        <v>0</v>
      </c>
      <c r="M148" s="54">
        <f>M186+M204</f>
        <v>-1808.2222222222224</v>
      </c>
      <c r="N148" s="54">
        <f t="shared" ref="N148:R148" ca="1" si="117">N186+N204</f>
        <v>-1825.7887578334758</v>
      </c>
      <c r="O148" s="54">
        <f t="shared" ca="1" si="117"/>
        <v>-1543.8487950434776</v>
      </c>
      <c r="P148" s="54">
        <f t="shared" ca="1" si="117"/>
        <v>-1313.5528526316241</v>
      </c>
      <c r="Q148" s="54">
        <f t="shared" ca="1" si="117"/>
        <v>-1078.0508121996879</v>
      </c>
      <c r="R148" s="54">
        <f t="shared" ca="1" si="117"/>
        <v>-814.12149001214527</v>
      </c>
    </row>
    <row r="149" spans="2:18" ht="15" thickBot="1" x14ac:dyDescent="0.35">
      <c r="B149" s="71" t="s">
        <v>120</v>
      </c>
      <c r="L149" s="142">
        <v>0</v>
      </c>
      <c r="M149" s="122">
        <f>-'Transaction Details'!$F$29</f>
        <v>-750</v>
      </c>
      <c r="N149" s="122">
        <f>-'Transaction Details'!$F$29</f>
        <v>-750</v>
      </c>
      <c r="O149" s="122">
        <f>-'Transaction Details'!$F$29</f>
        <v>-750</v>
      </c>
      <c r="P149" s="122">
        <f>-'Transaction Details'!$F$29</f>
        <v>-750</v>
      </c>
      <c r="Q149" s="122">
        <f>-'Transaction Details'!$F$29</f>
        <v>-750</v>
      </c>
      <c r="R149" s="122">
        <f>-'Transaction Details'!$F$29</f>
        <v>-750</v>
      </c>
    </row>
    <row r="150" spans="2:18" x14ac:dyDescent="0.3">
      <c r="B150" s="72" t="s">
        <v>246</v>
      </c>
      <c r="L150" s="81">
        <v>0</v>
      </c>
      <c r="M150" s="54">
        <f t="shared" ref="M150:Q150" ca="1" si="118">SUM(M145:M149)</f>
        <v>212.84096234409594</v>
      </c>
      <c r="N150" s="54">
        <f t="shared" ca="1" si="118"/>
        <v>722.51111932077856</v>
      </c>
      <c r="O150" s="54">
        <f t="shared" ca="1" si="118"/>
        <v>524.36632229595739</v>
      </c>
      <c r="P150" s="54">
        <f t="shared" ca="1" si="118"/>
        <v>889.03323662379148</v>
      </c>
      <c r="Q150" s="54">
        <f t="shared" ca="1" si="118"/>
        <v>1518.6571663531122</v>
      </c>
      <c r="R150" s="54">
        <f t="shared" ref="R150" ca="1" si="119">SUM(R145:R149)</f>
        <v>2384.1748980947614</v>
      </c>
    </row>
    <row r="152" spans="2:18" x14ac:dyDescent="0.3">
      <c r="B152" s="72" t="s">
        <v>247</v>
      </c>
    </row>
    <row r="153" spans="2:18" x14ac:dyDescent="0.3">
      <c r="B153" s="71" t="s">
        <v>248</v>
      </c>
      <c r="L153" s="81">
        <v>0</v>
      </c>
      <c r="M153" s="136">
        <v>0</v>
      </c>
      <c r="N153" s="136">
        <f t="shared" ref="N153:R153" ca="1" si="120">M155</f>
        <v>0</v>
      </c>
      <c r="O153" s="136">
        <f t="shared" ca="1" si="120"/>
        <v>0</v>
      </c>
      <c r="P153" s="136">
        <f t="shared" ca="1" si="120"/>
        <v>0</v>
      </c>
      <c r="Q153" s="136">
        <f t="shared" ca="1" si="120"/>
        <v>0</v>
      </c>
      <c r="R153" s="136">
        <f t="shared" ca="1" si="120"/>
        <v>0</v>
      </c>
    </row>
    <row r="154" spans="2:18" x14ac:dyDescent="0.3">
      <c r="B154" s="71" t="s">
        <v>249</v>
      </c>
      <c r="L154" s="81">
        <v>0</v>
      </c>
      <c r="M154" s="136">
        <f ca="1">-MIN(M150,M153)</f>
        <v>0</v>
      </c>
      <c r="N154" s="136">
        <f t="shared" ref="N154:Q154" ca="1" si="121">-MIN(N150,N153)</f>
        <v>0</v>
      </c>
      <c r="O154" s="136">
        <f t="shared" ca="1" si="121"/>
        <v>0</v>
      </c>
      <c r="P154" s="136">
        <f t="shared" ca="1" si="121"/>
        <v>0</v>
      </c>
      <c r="Q154" s="136">
        <f t="shared" ca="1" si="121"/>
        <v>0</v>
      </c>
      <c r="R154" s="136">
        <f t="shared" ref="R154" ca="1" si="122">-MIN(R150,R153)</f>
        <v>0</v>
      </c>
    </row>
    <row r="155" spans="2:18" x14ac:dyDescent="0.3">
      <c r="B155" s="71" t="s">
        <v>250</v>
      </c>
      <c r="L155" s="81">
        <v>0</v>
      </c>
      <c r="M155" s="136">
        <f ca="1">SUM(M153:M154)</f>
        <v>0</v>
      </c>
      <c r="N155" s="136">
        <f t="shared" ref="N155:Q155" ca="1" si="123">SUM(N153:N154)</f>
        <v>0</v>
      </c>
      <c r="O155" s="136">
        <f t="shared" ca="1" si="123"/>
        <v>0</v>
      </c>
      <c r="P155" s="136">
        <f t="shared" ca="1" si="123"/>
        <v>0</v>
      </c>
      <c r="Q155" s="136">
        <f t="shared" ca="1" si="123"/>
        <v>0</v>
      </c>
      <c r="R155" s="136">
        <f t="shared" ref="R155" ca="1" si="124">SUM(R153:R154)</f>
        <v>0</v>
      </c>
    </row>
    <row r="156" spans="2:18" x14ac:dyDescent="0.3">
      <c r="I156" s="120" t="s">
        <v>251</v>
      </c>
    </row>
    <row r="157" spans="2:18" x14ac:dyDescent="0.3">
      <c r="B157" s="71" t="s">
        <v>252</v>
      </c>
      <c r="I157" s="292">
        <f>'Transaction Details'!E36</f>
        <v>1000</v>
      </c>
      <c r="L157" s="143">
        <v>0</v>
      </c>
      <c r="M157" s="123">
        <f t="shared" ref="M157:Q157" ca="1" si="125">IF(M155&gt;$I$157, 1,0)</f>
        <v>0</v>
      </c>
      <c r="N157" s="123">
        <f t="shared" ca="1" si="125"/>
        <v>0</v>
      </c>
      <c r="O157" s="123">
        <f t="shared" ca="1" si="125"/>
        <v>0</v>
      </c>
      <c r="P157" s="123">
        <f t="shared" ca="1" si="125"/>
        <v>0</v>
      </c>
      <c r="Q157" s="123">
        <f t="shared" ca="1" si="125"/>
        <v>0</v>
      </c>
      <c r="R157" s="124">
        <f t="shared" ref="R157" ca="1" si="126">IF(R155&gt;$I$157, 1,0)</f>
        <v>0</v>
      </c>
    </row>
    <row r="158" spans="2:18" x14ac:dyDescent="0.3">
      <c r="B158" s="71"/>
    </row>
    <row r="159" spans="2:18" x14ac:dyDescent="0.3">
      <c r="B159" s="71" t="s">
        <v>240</v>
      </c>
      <c r="L159" s="81">
        <v>0</v>
      </c>
      <c r="M159" s="125">
        <f>'Inputs and Driver'!L68</f>
        <v>0.06</v>
      </c>
      <c r="N159" s="125">
        <f>'Inputs and Driver'!M68</f>
        <v>5.5000000000000007E-2</v>
      </c>
      <c r="O159" s="125">
        <f>'Inputs and Driver'!N68</f>
        <v>5.5000000000000007E-2</v>
      </c>
      <c r="P159" s="125">
        <f>'Inputs and Driver'!O68</f>
        <v>5.5000000000000007E-2</v>
      </c>
      <c r="Q159" s="125">
        <f>'Inputs and Driver'!P68</f>
        <v>4.7500000000000001E-2</v>
      </c>
      <c r="R159" s="125">
        <f>'Inputs and Driver'!Q68</f>
        <v>4.4999999999999998E-2</v>
      </c>
    </row>
    <row r="160" spans="2:18" x14ac:dyDescent="0.3">
      <c r="B160" s="71" t="s">
        <v>241</v>
      </c>
      <c r="L160" s="81">
        <v>0</v>
      </c>
      <c r="M160" s="136">
        <f ca="1">AVERAGE(M153,M155)*M159*'Transaction Details'!R23</f>
        <v>0</v>
      </c>
      <c r="N160" s="136">
        <f t="shared" ref="N160:Q160" ca="1" si="127">AVERAGE(N153,N155)*N159</f>
        <v>0</v>
      </c>
      <c r="O160" s="136">
        <f t="shared" ca="1" si="127"/>
        <v>0</v>
      </c>
      <c r="P160" s="136">
        <f t="shared" ca="1" si="127"/>
        <v>0</v>
      </c>
      <c r="Q160" s="136">
        <f t="shared" ca="1" si="127"/>
        <v>0</v>
      </c>
      <c r="R160" s="136">
        <f t="shared" ref="R160" ca="1" si="128">AVERAGE(R153,R155)*R159</f>
        <v>0</v>
      </c>
    </row>
    <row r="161" spans="1:18" x14ac:dyDescent="0.3">
      <c r="B161" s="71"/>
    </row>
    <row r="162" spans="1:18" x14ac:dyDescent="0.3">
      <c r="B162" s="72" t="s">
        <v>253</v>
      </c>
    </row>
    <row r="163" spans="1:18" x14ac:dyDescent="0.3">
      <c r="B163" s="71" t="s">
        <v>248</v>
      </c>
      <c r="L163" s="81">
        <v>0</v>
      </c>
      <c r="M163" s="54">
        <f>I157-M153</f>
        <v>1000</v>
      </c>
      <c r="N163" s="54">
        <f t="shared" ref="N163:R163" ca="1" si="129">M165</f>
        <v>1000</v>
      </c>
      <c r="O163" s="54">
        <f t="shared" ca="1" si="129"/>
        <v>1000</v>
      </c>
      <c r="P163" s="54">
        <f t="shared" ca="1" si="129"/>
        <v>1000</v>
      </c>
      <c r="Q163" s="54">
        <f t="shared" ca="1" si="129"/>
        <v>1000</v>
      </c>
      <c r="R163" s="54">
        <f t="shared" ca="1" si="129"/>
        <v>1000</v>
      </c>
    </row>
    <row r="164" spans="1:18" x14ac:dyDescent="0.3">
      <c r="B164" s="71" t="s">
        <v>254</v>
      </c>
      <c r="L164" s="81">
        <v>0</v>
      </c>
      <c r="M164" s="136">
        <f t="shared" ref="M164" ca="1" si="130">-M154</f>
        <v>0</v>
      </c>
      <c r="N164" s="136">
        <f t="shared" ref="N164:Q164" ca="1" si="131">-N154</f>
        <v>0</v>
      </c>
      <c r="O164" s="136">
        <f t="shared" ca="1" si="131"/>
        <v>0</v>
      </c>
      <c r="P164" s="136">
        <f t="shared" ca="1" si="131"/>
        <v>0</v>
      </c>
      <c r="Q164" s="136">
        <f t="shared" ca="1" si="131"/>
        <v>0</v>
      </c>
      <c r="R164" s="136">
        <f t="shared" ref="R164" ca="1" si="132">-R154</f>
        <v>0</v>
      </c>
    </row>
    <row r="165" spans="1:18" x14ac:dyDescent="0.3">
      <c r="B165" s="71" t="s">
        <v>250</v>
      </c>
      <c r="L165" s="81">
        <v>0</v>
      </c>
      <c r="M165" s="54">
        <f ca="1">SUM(M163:M164)</f>
        <v>1000</v>
      </c>
      <c r="N165" s="54">
        <f t="shared" ref="N165:Q165" ca="1" si="133">SUM(N163:N164)</f>
        <v>1000</v>
      </c>
      <c r="O165" s="54">
        <f t="shared" ca="1" si="133"/>
        <v>1000</v>
      </c>
      <c r="P165" s="54">
        <f t="shared" ca="1" si="133"/>
        <v>1000</v>
      </c>
      <c r="Q165" s="54">
        <f t="shared" ca="1" si="133"/>
        <v>1000</v>
      </c>
      <c r="R165" s="54">
        <f t="shared" ref="R165" ca="1" si="134">SUM(R163:R164)</f>
        <v>1000</v>
      </c>
    </row>
    <row r="166" spans="1:18" x14ac:dyDescent="0.3">
      <c r="B166" s="71"/>
    </row>
    <row r="167" spans="1:18" x14ac:dyDescent="0.3">
      <c r="B167" s="71" t="s">
        <v>255</v>
      </c>
      <c r="L167" s="81">
        <v>0</v>
      </c>
      <c r="M167" s="125">
        <f>'Transaction Details'!$H$36</f>
        <v>2.5000000000000001E-3</v>
      </c>
      <c r="N167" s="125">
        <f>'Transaction Details'!$H$36</f>
        <v>2.5000000000000001E-3</v>
      </c>
      <c r="O167" s="125">
        <f>'Transaction Details'!$H$36</f>
        <v>2.5000000000000001E-3</v>
      </c>
      <c r="P167" s="125">
        <f>'Transaction Details'!$H$36</f>
        <v>2.5000000000000001E-3</v>
      </c>
      <c r="Q167" s="125">
        <f>'Transaction Details'!$H$36</f>
        <v>2.5000000000000001E-3</v>
      </c>
      <c r="R167" s="125">
        <f>'Transaction Details'!$H$36</f>
        <v>2.5000000000000001E-3</v>
      </c>
    </row>
    <row r="168" spans="1:18" x14ac:dyDescent="0.3">
      <c r="B168" s="71" t="s">
        <v>256</v>
      </c>
      <c r="L168" s="81">
        <v>0</v>
      </c>
      <c r="M168" s="118">
        <f ca="1">M165*M167*-1*'Transaction Details'!R23</f>
        <v>-2.1944444444444446</v>
      </c>
      <c r="N168" s="118">
        <f t="shared" ref="N168:Q168" ca="1" si="135">N165*N167*-1</f>
        <v>-2.5</v>
      </c>
      <c r="O168" s="118">
        <f t="shared" ca="1" si="135"/>
        <v>-2.5</v>
      </c>
      <c r="P168" s="118">
        <f t="shared" ca="1" si="135"/>
        <v>-2.5</v>
      </c>
      <c r="Q168" s="118">
        <f t="shared" ca="1" si="135"/>
        <v>-2.5</v>
      </c>
      <c r="R168" s="118">
        <f t="shared" ref="R168" ca="1" si="136">R165*R167*-1</f>
        <v>-2.5</v>
      </c>
    </row>
    <row r="169" spans="1:18" x14ac:dyDescent="0.3">
      <c r="B169" s="71"/>
    </row>
    <row r="170" spans="1:18" x14ac:dyDescent="0.3">
      <c r="B170" s="72" t="s">
        <v>257</v>
      </c>
      <c r="L170" s="143">
        <v>0</v>
      </c>
      <c r="M170" s="281">
        <f t="shared" ref="M170:Q170" ca="1" si="137">M150+M154</f>
        <v>212.84096234409594</v>
      </c>
      <c r="N170" s="281">
        <f t="shared" ca="1" si="137"/>
        <v>722.51111932077856</v>
      </c>
      <c r="O170" s="281">
        <f t="shared" ca="1" si="137"/>
        <v>524.36632229595739</v>
      </c>
      <c r="P170" s="281">
        <f t="shared" ca="1" si="137"/>
        <v>889.03323662379148</v>
      </c>
      <c r="Q170" s="281">
        <f t="shared" ca="1" si="137"/>
        <v>1518.6571663531122</v>
      </c>
      <c r="R170" s="282">
        <f t="shared" ref="R170" ca="1" si="138">R150+R154</f>
        <v>2384.1748980947614</v>
      </c>
    </row>
    <row r="173" spans="1:18" ht="18" x14ac:dyDescent="0.35">
      <c r="A173" s="60" t="s">
        <v>135</v>
      </c>
      <c r="B173" s="62" t="s">
        <v>258</v>
      </c>
      <c r="C173" s="63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150"/>
    </row>
    <row r="175" spans="1:18" ht="15" thickBot="1" x14ac:dyDescent="0.35">
      <c r="B175" s="3" t="s">
        <v>7</v>
      </c>
      <c r="C175" s="20"/>
      <c r="D175" s="20"/>
      <c r="E175" s="20"/>
      <c r="L175" s="73">
        <f>2026</f>
        <v>2026</v>
      </c>
      <c r="M175" s="73">
        <f t="shared" ref="M175" si="139">L175+1</f>
        <v>2027</v>
      </c>
      <c r="N175" s="73">
        <f t="shared" ref="N175" si="140">M175+1</f>
        <v>2028</v>
      </c>
      <c r="O175" s="73">
        <f t="shared" ref="O175" si="141">N175+1</f>
        <v>2029</v>
      </c>
      <c r="P175" s="73">
        <f t="shared" ref="P175" si="142">O175+1</f>
        <v>2030</v>
      </c>
      <c r="Q175" s="73">
        <f t="shared" ref="Q175" si="143">P175+1</f>
        <v>2031</v>
      </c>
      <c r="R175" s="73">
        <f>Q175+1</f>
        <v>2032</v>
      </c>
    </row>
    <row r="177" spans="2:18" ht="16.8" x14ac:dyDescent="0.35">
      <c r="B177" s="74" t="s">
        <v>80</v>
      </c>
    </row>
    <row r="178" spans="2:18" x14ac:dyDescent="0.3">
      <c r="B178" s="71" t="s">
        <v>259</v>
      </c>
      <c r="L178" s="137">
        <v>0</v>
      </c>
      <c r="M178" s="130">
        <f>'Transaction Details'!E48</f>
        <v>0.12</v>
      </c>
      <c r="N178" s="130">
        <f>'Transaction Details'!F48</f>
        <v>0.12</v>
      </c>
      <c r="O178" s="130">
        <f>'Transaction Details'!G48</f>
        <v>0.12</v>
      </c>
      <c r="P178" s="130">
        <f>'Transaction Details'!H48</f>
        <v>0.12</v>
      </c>
      <c r="Q178" s="130">
        <f>'Transaction Details'!I48</f>
        <v>0.12</v>
      </c>
      <c r="R178" s="130">
        <f>'Transaction Details'!J48</f>
        <v>0.12</v>
      </c>
    </row>
    <row r="179" spans="2:18" x14ac:dyDescent="0.3">
      <c r="B179" s="71" t="s">
        <v>257</v>
      </c>
      <c r="L179" s="138">
        <v>0</v>
      </c>
      <c r="M179" s="54">
        <f t="shared" ref="M179:Q179" ca="1" si="144">M170</f>
        <v>212.84096234409594</v>
      </c>
      <c r="N179" s="54">
        <f t="shared" ca="1" si="144"/>
        <v>722.51111932077856</v>
      </c>
      <c r="O179" s="54">
        <f t="shared" ca="1" si="144"/>
        <v>524.36632229595739</v>
      </c>
      <c r="P179" s="54">
        <f t="shared" ca="1" si="144"/>
        <v>889.03323662379148</v>
      </c>
      <c r="Q179" s="54">
        <f t="shared" ca="1" si="144"/>
        <v>1518.6571663531122</v>
      </c>
      <c r="R179" s="128">
        <f ca="1">R170</f>
        <v>2384.1748980947614</v>
      </c>
    </row>
    <row r="180" spans="2:18" x14ac:dyDescent="0.3">
      <c r="B180" s="71" t="s">
        <v>260</v>
      </c>
      <c r="L180" s="139">
        <v>0</v>
      </c>
      <c r="M180" s="145">
        <f t="shared" ref="M180:Q180" ca="1" si="145">IF(M179&gt;0,1,0)</f>
        <v>1</v>
      </c>
      <c r="N180" s="145">
        <f t="shared" ca="1" si="145"/>
        <v>1</v>
      </c>
      <c r="O180" s="145">
        <f t="shared" ca="1" si="145"/>
        <v>1</v>
      </c>
      <c r="P180" s="145">
        <f t="shared" ca="1" si="145"/>
        <v>1</v>
      </c>
      <c r="Q180" s="145">
        <f t="shared" ca="1" si="145"/>
        <v>1</v>
      </c>
      <c r="R180" s="146">
        <f t="shared" ref="R180" ca="1" si="146">IF(R179&gt;0,1,0)</f>
        <v>1</v>
      </c>
    </row>
    <row r="181" spans="2:18" x14ac:dyDescent="0.3">
      <c r="B181" s="71"/>
      <c r="L181" s="76"/>
    </row>
    <row r="182" spans="2:18" x14ac:dyDescent="0.3">
      <c r="B182" s="71" t="s">
        <v>261</v>
      </c>
      <c r="L182" s="81">
        <v>0</v>
      </c>
      <c r="M182" s="132" t="str">
        <f t="shared" ref="M182:Q182" ca="1" si="147">IF(M170&gt;0, "Yes", "No")</f>
        <v>Yes</v>
      </c>
      <c r="N182" s="132" t="str">
        <f t="shared" ca="1" si="147"/>
        <v>Yes</v>
      </c>
      <c r="O182" s="132" t="str">
        <f t="shared" ca="1" si="147"/>
        <v>Yes</v>
      </c>
      <c r="P182" s="132" t="str">
        <f t="shared" ca="1" si="147"/>
        <v>Yes</v>
      </c>
      <c r="Q182" s="132" t="str">
        <f t="shared" ca="1" si="147"/>
        <v>Yes</v>
      </c>
      <c r="R182" s="132" t="str">
        <f t="shared" ref="R182" ca="1" si="148">IF(R170&gt;0, "Yes", "No")</f>
        <v>Yes</v>
      </c>
    </row>
    <row r="183" spans="2:18" x14ac:dyDescent="0.3">
      <c r="B183" s="72" t="s">
        <v>262</v>
      </c>
      <c r="L183" s="81">
        <v>0</v>
      </c>
      <c r="M183" s="117">
        <f ca="1">M179*$H$187</f>
        <v>159.63072175807196</v>
      </c>
      <c r="N183" s="117">
        <f t="shared" ref="N183:R183" ca="1" si="149">N179*$H$187</f>
        <v>541.88333949058392</v>
      </c>
      <c r="O183" s="117">
        <f t="shared" ca="1" si="149"/>
        <v>393.27474172196804</v>
      </c>
      <c r="P183" s="117">
        <f t="shared" ca="1" si="149"/>
        <v>666.77492746784355</v>
      </c>
      <c r="Q183" s="117">
        <f t="shared" ca="1" si="149"/>
        <v>1138.9928747648341</v>
      </c>
      <c r="R183" s="117">
        <f t="shared" ca="1" si="149"/>
        <v>1788.131173571071</v>
      </c>
    </row>
    <row r="184" spans="2:18" x14ac:dyDescent="0.3">
      <c r="B184" s="71"/>
      <c r="L184" s="76"/>
    </row>
    <row r="185" spans="2:18" x14ac:dyDescent="0.3">
      <c r="B185" s="72" t="s">
        <v>263</v>
      </c>
      <c r="C185" s="38"/>
      <c r="D185" s="38"/>
      <c r="E185" s="38"/>
      <c r="F185" s="38"/>
      <c r="G185" s="38"/>
      <c r="L185" s="81">
        <v>0</v>
      </c>
      <c r="M185" s="129">
        <f>'Transaction Details'!F10</f>
        <v>17000</v>
      </c>
      <c r="N185" s="117">
        <f t="shared" ref="N185:R185" ca="1" si="150">M188</f>
        <v>15049.702611575261</v>
      </c>
      <c r="O185" s="117">
        <f t="shared" ca="1" si="150"/>
        <v>12701.854958695647</v>
      </c>
      <c r="P185" s="117">
        <f t="shared" ca="1" si="150"/>
        <v>10784.357621930201</v>
      </c>
      <c r="Q185" s="117">
        <f t="shared" ca="1" si="150"/>
        <v>8823.4597798307332</v>
      </c>
      <c r="R185" s="117">
        <f t="shared" ca="1" si="150"/>
        <v>6625.6517314862103</v>
      </c>
    </row>
    <row r="186" spans="2:18" x14ac:dyDescent="0.3">
      <c r="B186" s="71" t="s">
        <v>264</v>
      </c>
      <c r="H186" s="126" t="s">
        <v>265</v>
      </c>
      <c r="L186" s="81">
        <v>0</v>
      </c>
      <c r="M186" s="116">
        <f>M185*M178*-1*'Transaction Details'!R23</f>
        <v>-1790.6666666666667</v>
      </c>
      <c r="N186" s="54">
        <f t="shared" ref="N186" ca="1" si="151">N185*N178*-1</f>
        <v>-1805.9643133890313</v>
      </c>
      <c r="O186" s="54">
        <f t="shared" ref="O186" ca="1" si="152">O185*O178*-1</f>
        <v>-1524.2225950434777</v>
      </c>
      <c r="P186" s="54">
        <f t="shared" ref="P186" ca="1" si="153">P185*P178*-1</f>
        <v>-1294.1229146316241</v>
      </c>
      <c r="Q186" s="54">
        <f t="shared" ref="Q186" ca="1" si="154">Q185*Q178*-1</f>
        <v>-1058.815173579688</v>
      </c>
      <c r="R186" s="54">
        <f t="shared" ref="R186" ca="1" si="155">R185*R178*-1</f>
        <v>-795.07820777834525</v>
      </c>
    </row>
    <row r="187" spans="2:18" x14ac:dyDescent="0.3">
      <c r="B187" s="71" t="s">
        <v>266</v>
      </c>
      <c r="H187" s="127">
        <f>'Transaction Details'!D48</f>
        <v>0.75</v>
      </c>
      <c r="L187" s="81">
        <v>0</v>
      </c>
      <c r="M187" s="54">
        <f ca="1">-MIN(M183,M185+M186)</f>
        <v>-159.63072175807196</v>
      </c>
      <c r="N187" s="54">
        <f t="shared" ref="N187:R187" ca="1" si="156">-MIN(N183,N185+N186)</f>
        <v>-541.88333949058392</v>
      </c>
      <c r="O187" s="54">
        <f t="shared" ca="1" si="156"/>
        <v>-393.27474172196804</v>
      </c>
      <c r="P187" s="54">
        <f t="shared" ca="1" si="156"/>
        <v>-666.77492746784355</v>
      </c>
      <c r="Q187" s="54">
        <f t="shared" ca="1" si="156"/>
        <v>-1138.9928747648341</v>
      </c>
      <c r="R187" s="54">
        <f t="shared" ca="1" si="156"/>
        <v>-1788.131173571071</v>
      </c>
    </row>
    <row r="188" spans="2:18" x14ac:dyDescent="0.3">
      <c r="B188" s="72" t="s">
        <v>267</v>
      </c>
      <c r="C188" s="38"/>
      <c r="D188" s="38"/>
      <c r="E188" s="38"/>
      <c r="F188" s="38"/>
      <c r="L188" s="81">
        <v>0</v>
      </c>
      <c r="M188" s="117">
        <f ca="1">SUM(M185:M187)</f>
        <v>15049.702611575261</v>
      </c>
      <c r="N188" s="117">
        <f t="shared" ref="N188:Q188" ca="1" si="157">SUM(N185:N187)</f>
        <v>12701.854958695647</v>
      </c>
      <c r="O188" s="117">
        <f t="shared" ca="1" si="157"/>
        <v>10784.357621930201</v>
      </c>
      <c r="P188" s="117">
        <f t="shared" ca="1" si="157"/>
        <v>8823.4597798307332</v>
      </c>
      <c r="Q188" s="117">
        <f t="shared" ca="1" si="157"/>
        <v>6625.6517314862103</v>
      </c>
      <c r="R188" s="117">
        <f t="shared" ref="R188" ca="1" si="158">SUM(R185:R187)</f>
        <v>4042.4423501367942</v>
      </c>
    </row>
    <row r="189" spans="2:18" x14ac:dyDescent="0.3">
      <c r="B189" s="71"/>
      <c r="L189" s="76"/>
    </row>
    <row r="190" spans="2:18" x14ac:dyDescent="0.3">
      <c r="B190" s="71" t="s">
        <v>240</v>
      </c>
      <c r="L190" s="81">
        <v>0</v>
      </c>
      <c r="M190" s="125">
        <f>'Inputs and Driver'!L74</f>
        <v>6.7500000000000004E-2</v>
      </c>
      <c r="N190" s="125">
        <f>'Inputs and Driver'!M74</f>
        <v>6.25E-2</v>
      </c>
      <c r="O190" s="125">
        <f>'Inputs and Driver'!N74</f>
        <v>6.25E-2</v>
      </c>
      <c r="P190" s="125">
        <f>'Inputs and Driver'!O74</f>
        <v>6.25E-2</v>
      </c>
      <c r="Q190" s="125">
        <f>'Inputs and Driver'!P74</f>
        <v>5.5E-2</v>
      </c>
      <c r="R190" s="125">
        <f>'Inputs and Driver'!Q74</f>
        <v>5.2500000000000005E-2</v>
      </c>
    </row>
    <row r="191" spans="2:18" x14ac:dyDescent="0.3">
      <c r="B191" s="71" t="s">
        <v>241</v>
      </c>
      <c r="L191" s="81">
        <v>0</v>
      </c>
      <c r="M191" s="54">
        <f ca="1">AVERAGE(M185,M188)*M190*'Transaction Details'!R23</f>
        <v>949.47243986791716</v>
      </c>
      <c r="N191" s="54">
        <f t="shared" ref="N191:Q191" ca="1" si="159">AVERAGE(N185,N188)*N190</f>
        <v>867.23617407096594</v>
      </c>
      <c r="O191" s="54">
        <f t="shared" ca="1" si="159"/>
        <v>733.94414314455776</v>
      </c>
      <c r="P191" s="54">
        <f t="shared" ca="1" si="159"/>
        <v>612.7442938050292</v>
      </c>
      <c r="Q191" s="54">
        <f t="shared" ca="1" si="159"/>
        <v>424.85056656121594</v>
      </c>
      <c r="R191" s="54">
        <f t="shared" ref="R191" ca="1" si="160">AVERAGE(R185,R188)*R190</f>
        <v>280.03746964260392</v>
      </c>
    </row>
    <row r="192" spans="2:18" x14ac:dyDescent="0.3">
      <c r="B192" s="71"/>
      <c r="L192" s="76"/>
    </row>
    <row r="193" spans="2:18" x14ac:dyDescent="0.3">
      <c r="B193" s="71" t="s">
        <v>268</v>
      </c>
      <c r="L193" s="283">
        <v>0</v>
      </c>
      <c r="M193" s="284" t="str">
        <f ca="1">IF(M179&gt;M183, "Yes", "No")</f>
        <v>Yes</v>
      </c>
      <c r="N193" s="284" t="str">
        <f t="shared" ref="N193:R193" ca="1" si="161">IF(N179&gt;N183, "Yes", "No")</f>
        <v>Yes</v>
      </c>
      <c r="O193" s="284" t="str">
        <f t="shared" ca="1" si="161"/>
        <v>Yes</v>
      </c>
      <c r="P193" s="284" t="str">
        <f t="shared" ca="1" si="161"/>
        <v>Yes</v>
      </c>
      <c r="Q193" s="284" t="str">
        <f t="shared" ca="1" si="161"/>
        <v>Yes</v>
      </c>
      <c r="R193" s="285" t="str">
        <f t="shared" ca="1" si="161"/>
        <v>Yes</v>
      </c>
    </row>
    <row r="194" spans="2:18" x14ac:dyDescent="0.3">
      <c r="B194" s="72"/>
      <c r="L194" s="76"/>
    </row>
    <row r="195" spans="2:18" ht="15" thickBot="1" x14ac:dyDescent="0.35">
      <c r="B195" s="3" t="s">
        <v>7</v>
      </c>
      <c r="L195" s="141">
        <f>2026</f>
        <v>2026</v>
      </c>
      <c r="M195" s="73">
        <f t="shared" ref="M195" si="162">L195+1</f>
        <v>2027</v>
      </c>
      <c r="N195" s="73">
        <f t="shared" ref="N195" si="163">M195+1</f>
        <v>2028</v>
      </c>
      <c r="O195" s="73">
        <f t="shared" ref="O195" si="164">N195+1</f>
        <v>2029</v>
      </c>
      <c r="P195" s="73">
        <f t="shared" ref="P195" si="165">O195+1</f>
        <v>2030</v>
      </c>
      <c r="Q195" s="73">
        <f t="shared" ref="Q195" si="166">P195+1</f>
        <v>2031</v>
      </c>
      <c r="R195" s="73">
        <f>Q195+1</f>
        <v>2032</v>
      </c>
    </row>
    <row r="196" spans="2:18" x14ac:dyDescent="0.3">
      <c r="L196" s="76"/>
    </row>
    <row r="197" spans="2:18" ht="16.8" x14ac:dyDescent="0.35">
      <c r="B197" s="74" t="s">
        <v>86</v>
      </c>
      <c r="L197" s="76"/>
    </row>
    <row r="198" spans="2:18" x14ac:dyDescent="0.3">
      <c r="L198" s="76"/>
    </row>
    <row r="199" spans="2:18" x14ac:dyDescent="0.3">
      <c r="B199" s="71" t="s">
        <v>259</v>
      </c>
      <c r="L199" s="137">
        <v>0</v>
      </c>
      <c r="M199" s="130">
        <f>'Transaction Details'!F47</f>
        <v>0.01</v>
      </c>
      <c r="N199" s="130">
        <f>'Transaction Details'!G47</f>
        <v>0.01</v>
      </c>
      <c r="O199" s="130">
        <f>'Transaction Details'!H47</f>
        <v>0.01</v>
      </c>
      <c r="P199" s="130">
        <f>'Transaction Details'!I47</f>
        <v>0.01</v>
      </c>
      <c r="Q199" s="130">
        <f>'Transaction Details'!J47</f>
        <v>0.01</v>
      </c>
      <c r="R199" s="131">
        <f>'Transaction Details'!K47</f>
        <v>0.01</v>
      </c>
    </row>
    <row r="200" spans="2:18" x14ac:dyDescent="0.3">
      <c r="B200" s="71" t="s">
        <v>269</v>
      </c>
      <c r="L200" s="138">
        <v>0</v>
      </c>
      <c r="M200" s="54">
        <f ca="1">M179+M187</f>
        <v>53.210240586023986</v>
      </c>
      <c r="N200" s="54">
        <f t="shared" ref="N200:R200" ca="1" si="167">N179+N187</f>
        <v>180.62777983019464</v>
      </c>
      <c r="O200" s="54">
        <f t="shared" ca="1" si="167"/>
        <v>131.09158057398935</v>
      </c>
      <c r="P200" s="54">
        <f t="shared" ca="1" si="167"/>
        <v>222.25830915594793</v>
      </c>
      <c r="Q200" s="54">
        <f t="shared" ca="1" si="167"/>
        <v>379.66429158827805</v>
      </c>
      <c r="R200" s="54">
        <f t="shared" ca="1" si="167"/>
        <v>596.04372452369034</v>
      </c>
    </row>
    <row r="201" spans="2:18" x14ac:dyDescent="0.3">
      <c r="B201" s="71" t="s">
        <v>260</v>
      </c>
      <c r="L201" s="139">
        <v>0</v>
      </c>
      <c r="M201" s="133" t="str">
        <f t="shared" ref="M201:Q201" ca="1" si="168">M193</f>
        <v>Yes</v>
      </c>
      <c r="N201" s="133" t="str">
        <f t="shared" ca="1" si="168"/>
        <v>Yes</v>
      </c>
      <c r="O201" s="133" t="str">
        <f t="shared" ca="1" si="168"/>
        <v>Yes</v>
      </c>
      <c r="P201" s="133" t="str">
        <f t="shared" ca="1" si="168"/>
        <v>Yes</v>
      </c>
      <c r="Q201" s="133" t="str">
        <f t="shared" ca="1" si="168"/>
        <v>Yes</v>
      </c>
      <c r="R201" s="134" t="str">
        <f t="shared" ref="R201" ca="1" si="169">R193</f>
        <v>Yes</v>
      </c>
    </row>
    <row r="202" spans="2:18" x14ac:dyDescent="0.3">
      <c r="B202" s="71"/>
      <c r="L202" s="76"/>
    </row>
    <row r="203" spans="2:18" x14ac:dyDescent="0.3">
      <c r="B203" s="72" t="s">
        <v>263</v>
      </c>
      <c r="C203" s="38"/>
      <c r="D203" s="38"/>
      <c r="E203" s="38"/>
      <c r="F203" s="38"/>
      <c r="L203" s="81">
        <v>0</v>
      </c>
      <c r="M203" s="135">
        <f>'Transaction Details'!$F$9</f>
        <v>2000</v>
      </c>
      <c r="N203" s="117">
        <f t="shared" ref="N203:R203" ca="1" si="170">M206</f>
        <v>1982.4444444444443</v>
      </c>
      <c r="O203" s="117">
        <f t="shared" ca="1" si="170"/>
        <v>1962.62</v>
      </c>
      <c r="P203" s="117">
        <f t="shared" ca="1" si="170"/>
        <v>1942.9938</v>
      </c>
      <c r="Q203" s="117">
        <f t="shared" ca="1" si="170"/>
        <v>1923.563862</v>
      </c>
      <c r="R203" s="117">
        <f t="shared" ca="1" si="170"/>
        <v>1904.3282233800001</v>
      </c>
    </row>
    <row r="204" spans="2:18" x14ac:dyDescent="0.3">
      <c r="B204" s="71" t="s">
        <v>264</v>
      </c>
      <c r="H204" s="126" t="s">
        <v>265</v>
      </c>
      <c r="L204" s="81">
        <v>0</v>
      </c>
      <c r="M204" s="118">
        <f>M203*M199*-1*'Transaction Details'!R23</f>
        <v>-17.555555555555557</v>
      </c>
      <c r="N204" s="118">
        <f t="shared" ref="N204" ca="1" si="171">N203*N199*-1</f>
        <v>-19.824444444444445</v>
      </c>
      <c r="O204" s="118">
        <f t="shared" ref="O204" ca="1" si="172">O203*O199*-1</f>
        <v>-19.626200000000001</v>
      </c>
      <c r="P204" s="118">
        <f t="shared" ref="P204" ca="1" si="173">P203*P199*-1</f>
        <v>-19.429938</v>
      </c>
      <c r="Q204" s="118">
        <f t="shared" ref="Q204:R204" ca="1" si="174">Q203*Q199*-1</f>
        <v>-19.23563862</v>
      </c>
      <c r="R204" s="118">
        <f t="shared" ca="1" si="174"/>
        <v>-19.043282233799999</v>
      </c>
    </row>
    <row r="205" spans="2:18" x14ac:dyDescent="0.3">
      <c r="B205" s="71" t="s">
        <v>266</v>
      </c>
      <c r="H205" s="127">
        <f>'Transaction Details'!D47</f>
        <v>0</v>
      </c>
      <c r="L205" s="81">
        <v>0</v>
      </c>
      <c r="M205" s="54">
        <f ca="1">M200*$H$205</f>
        <v>0</v>
      </c>
      <c r="N205" s="54">
        <f t="shared" ref="N205:R205" ca="1" si="175">N200*$H$205</f>
        <v>0</v>
      </c>
      <c r="O205" s="54">
        <f t="shared" ca="1" si="175"/>
        <v>0</v>
      </c>
      <c r="P205" s="54">
        <f t="shared" ca="1" si="175"/>
        <v>0</v>
      </c>
      <c r="Q205" s="54">
        <f t="shared" ca="1" si="175"/>
        <v>0</v>
      </c>
      <c r="R205" s="54">
        <f t="shared" ca="1" si="175"/>
        <v>0</v>
      </c>
    </row>
    <row r="206" spans="2:18" x14ac:dyDescent="0.3">
      <c r="B206" s="72" t="s">
        <v>267</v>
      </c>
      <c r="C206" s="38"/>
      <c r="D206" s="38"/>
      <c r="E206" s="38"/>
      <c r="F206" s="38"/>
      <c r="G206" s="38"/>
      <c r="L206" s="81">
        <v>0</v>
      </c>
      <c r="M206" s="117">
        <f ca="1">SUM(M203:M205)</f>
        <v>1982.4444444444443</v>
      </c>
      <c r="N206" s="117">
        <f t="shared" ref="N206:Q206" ca="1" si="176">SUM(N203:N205)</f>
        <v>1962.62</v>
      </c>
      <c r="O206" s="117">
        <f t="shared" ca="1" si="176"/>
        <v>1942.9938</v>
      </c>
      <c r="P206" s="117">
        <f t="shared" ca="1" si="176"/>
        <v>1923.563862</v>
      </c>
      <c r="Q206" s="117">
        <f t="shared" ca="1" si="176"/>
        <v>1904.3282233800001</v>
      </c>
      <c r="R206" s="117">
        <f t="shared" ref="R206" ca="1" si="177">SUM(R203:R205)</f>
        <v>1885.2849411462</v>
      </c>
    </row>
    <row r="207" spans="2:18" x14ac:dyDescent="0.3">
      <c r="B207" s="71"/>
      <c r="L207" s="76"/>
    </row>
    <row r="208" spans="2:18" x14ac:dyDescent="0.3">
      <c r="B208" s="71" t="s">
        <v>240</v>
      </c>
      <c r="L208" s="81">
        <v>0</v>
      </c>
      <c r="M208" s="125">
        <f>'Inputs and Driver'!L71</f>
        <v>6.25E-2</v>
      </c>
      <c r="N208" s="125">
        <f>'Inputs and Driver'!M71</f>
        <v>5.7500000000000002E-2</v>
      </c>
      <c r="O208" s="125">
        <f>'Inputs and Driver'!N71</f>
        <v>5.7500000000000002E-2</v>
      </c>
      <c r="P208" s="125">
        <f>'Inputs and Driver'!O71</f>
        <v>5.7500000000000002E-2</v>
      </c>
      <c r="Q208" s="125">
        <f>'Inputs and Driver'!P71</f>
        <v>0.05</v>
      </c>
      <c r="R208" s="125">
        <f>'Inputs and Driver'!Q71</f>
        <v>4.7500000000000001E-2</v>
      </c>
    </row>
    <row r="209" spans="1:18" ht="15" thickBot="1" x14ac:dyDescent="0.35">
      <c r="B209" s="72" t="s">
        <v>241</v>
      </c>
      <c r="C209" s="38"/>
      <c r="D209" s="38"/>
      <c r="E209" s="38"/>
      <c r="F209" s="38"/>
      <c r="G209" s="38"/>
      <c r="L209" s="286">
        <v>0</v>
      </c>
      <c r="M209" s="287">
        <f ca="1">AVERAGE(M203,M206)*M208*'Transaction Details'!R23</f>
        <v>109.2406635802469</v>
      </c>
      <c r="N209" s="287">
        <f t="shared" ref="N209:Q209" ca="1" si="178">AVERAGE(N203,N206)*N208</f>
        <v>113.42060277777777</v>
      </c>
      <c r="O209" s="287">
        <f t="shared" ca="1" si="178"/>
        <v>112.28639675000001</v>
      </c>
      <c r="P209" s="287">
        <f t="shared" ca="1" si="178"/>
        <v>111.16353278250001</v>
      </c>
      <c r="Q209" s="287">
        <f t="shared" ca="1" si="178"/>
        <v>95.697302134500006</v>
      </c>
      <c r="R209" s="287">
        <f t="shared" ref="R209" ca="1" si="179">AVERAGE(R203,R206)*R208</f>
        <v>90.003312657497261</v>
      </c>
    </row>
    <row r="210" spans="1:18" x14ac:dyDescent="0.3">
      <c r="B210" s="72"/>
      <c r="C210" s="38"/>
      <c r="D210" s="38"/>
      <c r="E210" s="38"/>
      <c r="F210" s="38"/>
      <c r="G210" s="38"/>
      <c r="L210" s="140"/>
      <c r="M210" s="117"/>
      <c r="N210" s="117"/>
      <c r="O210" s="117"/>
      <c r="P210" s="117"/>
      <c r="Q210" s="117"/>
      <c r="R210" s="117"/>
    </row>
    <row r="211" spans="1:18" ht="18" x14ac:dyDescent="0.35">
      <c r="A211" s="60" t="s">
        <v>135</v>
      </c>
      <c r="B211" s="199" t="s">
        <v>270</v>
      </c>
      <c r="C211" s="150"/>
      <c r="D211" s="150"/>
      <c r="E211" s="150"/>
      <c r="F211" s="150"/>
      <c r="G211" s="150"/>
      <c r="H211" s="150"/>
      <c r="I211" s="150"/>
      <c r="J211" s="150"/>
      <c r="K211" s="150"/>
      <c r="L211" s="150"/>
      <c r="M211" s="150"/>
      <c r="N211" s="150"/>
      <c r="O211" s="150"/>
      <c r="P211" s="150"/>
      <c r="Q211" s="150"/>
      <c r="R211" s="150"/>
    </row>
    <row r="213" spans="1:18" ht="15" thickBot="1" x14ac:dyDescent="0.35">
      <c r="B213" s="3" t="s">
        <v>7</v>
      </c>
      <c r="C213" s="20"/>
      <c r="D213" s="20"/>
      <c r="E213" s="20"/>
      <c r="L213" s="73">
        <f>2026</f>
        <v>2026</v>
      </c>
      <c r="M213" s="73">
        <f t="shared" ref="M213:R213" si="180">L213+1</f>
        <v>2027</v>
      </c>
      <c r="N213" s="73">
        <f t="shared" si="180"/>
        <v>2028</v>
      </c>
      <c r="O213" s="73">
        <f t="shared" si="180"/>
        <v>2029</v>
      </c>
      <c r="P213" s="73">
        <f t="shared" si="180"/>
        <v>2030</v>
      </c>
      <c r="Q213" s="73">
        <f t="shared" si="180"/>
        <v>2031</v>
      </c>
      <c r="R213" s="73">
        <f t="shared" si="180"/>
        <v>2032</v>
      </c>
    </row>
    <row r="214" spans="1:18" x14ac:dyDescent="0.3">
      <c r="B214" s="72"/>
      <c r="C214" s="38"/>
      <c r="D214" s="38"/>
      <c r="E214" s="38"/>
      <c r="F214" s="38"/>
      <c r="G214" s="38"/>
      <c r="L214" s="140"/>
      <c r="M214" s="117"/>
      <c r="N214" s="117"/>
      <c r="O214" s="117"/>
      <c r="P214" s="117"/>
      <c r="Q214" s="117"/>
      <c r="R214" s="117"/>
    </row>
    <row r="215" spans="1:18" ht="16.8" x14ac:dyDescent="0.35">
      <c r="B215" s="200" t="s">
        <v>89</v>
      </c>
      <c r="C215" s="38"/>
      <c r="D215" s="38"/>
      <c r="E215" s="38"/>
      <c r="F215" s="38"/>
      <c r="G215" s="38"/>
      <c r="L215" s="140"/>
      <c r="M215" s="117"/>
      <c r="N215" s="117"/>
      <c r="O215" s="117"/>
      <c r="P215" s="117"/>
      <c r="Q215" s="117"/>
      <c r="R215" s="117"/>
    </row>
    <row r="216" spans="1:18" x14ac:dyDescent="0.3">
      <c r="B216" s="72"/>
      <c r="C216" s="38"/>
      <c r="D216" s="38"/>
      <c r="E216" s="38"/>
      <c r="F216" s="38"/>
      <c r="G216" s="38"/>
      <c r="L216" s="140"/>
      <c r="M216" s="117"/>
      <c r="N216" s="117"/>
      <c r="O216" s="117"/>
      <c r="P216" s="117"/>
      <c r="Q216" s="117"/>
      <c r="R216" s="117"/>
    </row>
    <row r="217" spans="1:18" x14ac:dyDescent="0.3">
      <c r="B217" s="71" t="s">
        <v>259</v>
      </c>
      <c r="C217" s="38"/>
      <c r="D217" s="38"/>
      <c r="E217" s="38"/>
      <c r="F217" s="38"/>
      <c r="G217" s="38"/>
      <c r="L217" s="201"/>
      <c r="M217" s="202"/>
      <c r="N217" s="202"/>
      <c r="O217" s="130">
        <f>'Transaction Details'!G49</f>
        <v>7.4999999999999997E-2</v>
      </c>
      <c r="P217" s="130">
        <f>'Transaction Details'!H49</f>
        <v>7.4999999999999997E-2</v>
      </c>
      <c r="Q217" s="130">
        <f>'Transaction Details'!I49</f>
        <v>7.4999999999999997E-2</v>
      </c>
      <c r="R217" s="131">
        <f>'Transaction Details'!J49</f>
        <v>7.4999999999999997E-2</v>
      </c>
    </row>
    <row r="218" spans="1:18" x14ac:dyDescent="0.3">
      <c r="B218" s="71" t="s">
        <v>266</v>
      </c>
      <c r="C218" s="38"/>
      <c r="D218" s="38"/>
      <c r="E218" s="38"/>
      <c r="F218" s="38"/>
      <c r="G218" s="38"/>
      <c r="L218" s="203"/>
      <c r="M218" s="204"/>
      <c r="N218" s="204"/>
      <c r="O218" s="205" t="s">
        <v>99</v>
      </c>
      <c r="P218" s="205" t="s">
        <v>99</v>
      </c>
      <c r="Q218" s="205" t="s">
        <v>99</v>
      </c>
      <c r="R218" s="206" t="s">
        <v>99</v>
      </c>
    </row>
    <row r="219" spans="1:18" x14ac:dyDescent="0.3">
      <c r="C219" s="38"/>
      <c r="D219" s="38"/>
      <c r="E219" s="38"/>
      <c r="F219" s="38"/>
      <c r="G219" s="38"/>
      <c r="L219" s="210"/>
      <c r="M219" s="211"/>
      <c r="N219" s="211"/>
      <c r="O219" s="209"/>
      <c r="P219" s="209"/>
      <c r="Q219" s="209"/>
      <c r="R219" s="209"/>
    </row>
    <row r="220" spans="1:18" x14ac:dyDescent="0.3">
      <c r="B220" s="72" t="s">
        <v>263</v>
      </c>
      <c r="C220" s="38"/>
      <c r="D220" s="38"/>
      <c r="E220" s="38"/>
      <c r="F220" s="38"/>
      <c r="G220" s="38"/>
      <c r="L220" s="207"/>
      <c r="M220" s="208"/>
      <c r="N220" s="208"/>
      <c r="O220" s="257">
        <v>0</v>
      </c>
      <c r="P220" s="213">
        <f>O222</f>
        <v>5000</v>
      </c>
      <c r="Q220" s="213">
        <f>P222</f>
        <v>4625</v>
      </c>
      <c r="R220" s="213">
        <f>Q222</f>
        <v>4278.125</v>
      </c>
    </row>
    <row r="221" spans="1:18" x14ac:dyDescent="0.3">
      <c r="B221" s="71" t="s">
        <v>264</v>
      </c>
      <c r="C221" s="38"/>
      <c r="D221" s="38"/>
      <c r="E221" s="38"/>
      <c r="F221" s="38"/>
      <c r="G221" s="38"/>
      <c r="L221" s="207"/>
      <c r="M221" s="208"/>
      <c r="N221" s="208"/>
      <c r="O221" s="213">
        <f>O220*O217</f>
        <v>0</v>
      </c>
      <c r="P221" s="213">
        <f>P220*P217</f>
        <v>375</v>
      </c>
      <c r="Q221" s="213">
        <f>Q220*Q217</f>
        <v>346.875</v>
      </c>
      <c r="R221" s="213">
        <f>R220*R217</f>
        <v>320.859375</v>
      </c>
    </row>
    <row r="222" spans="1:18" x14ac:dyDescent="0.3">
      <c r="B222" s="72" t="s">
        <v>267</v>
      </c>
      <c r="C222" s="38"/>
      <c r="D222" s="38"/>
      <c r="E222" s="38"/>
      <c r="F222" s="38"/>
      <c r="G222" s="38"/>
      <c r="L222" s="207"/>
      <c r="M222" s="208"/>
      <c r="N222" s="208"/>
      <c r="O222" s="212">
        <f>'Transaction Details'!C41</f>
        <v>5000</v>
      </c>
      <c r="P222" s="213">
        <f>P220-P221</f>
        <v>4625</v>
      </c>
      <c r="Q222" s="213">
        <f>Q220-Q221</f>
        <v>4278.125</v>
      </c>
      <c r="R222" s="213">
        <f>R220-R221</f>
        <v>3957.265625</v>
      </c>
    </row>
    <row r="223" spans="1:18" x14ac:dyDescent="0.3">
      <c r="B223" s="72"/>
      <c r="C223" s="38"/>
      <c r="D223" s="38"/>
      <c r="E223" s="38"/>
      <c r="F223" s="38"/>
      <c r="G223" s="38"/>
      <c r="L223" s="210"/>
      <c r="M223" s="211"/>
      <c r="N223" s="211"/>
      <c r="O223" s="209"/>
      <c r="P223" s="209"/>
      <c r="Q223" s="209"/>
      <c r="R223" s="209"/>
    </row>
    <row r="224" spans="1:18" x14ac:dyDescent="0.3">
      <c r="B224" s="72" t="s">
        <v>271</v>
      </c>
      <c r="C224" s="38"/>
      <c r="D224" s="38"/>
      <c r="E224" s="38"/>
      <c r="F224" s="38"/>
      <c r="G224" s="38"/>
      <c r="L224" s="207"/>
      <c r="M224" s="208"/>
      <c r="N224" s="208"/>
      <c r="O224" s="212">
        <f>'Transaction Details'!G41*-1</f>
        <v>-100</v>
      </c>
      <c r="P224" s="136">
        <v>0</v>
      </c>
      <c r="Q224" s="136">
        <v>0</v>
      </c>
      <c r="R224" s="136">
        <v>0</v>
      </c>
    </row>
    <row r="225" spans="1:18" x14ac:dyDescent="0.3">
      <c r="B225" s="72"/>
      <c r="C225" s="38"/>
      <c r="D225" s="38"/>
      <c r="E225" s="38"/>
      <c r="F225" s="38"/>
      <c r="G225" s="38"/>
      <c r="L225" s="210"/>
      <c r="M225" s="211"/>
      <c r="N225" s="211"/>
      <c r="O225" s="209"/>
      <c r="P225" s="209"/>
      <c r="Q225" s="209"/>
      <c r="R225" s="209"/>
    </row>
    <row r="226" spans="1:18" x14ac:dyDescent="0.3">
      <c r="B226" s="71" t="s">
        <v>240</v>
      </c>
      <c r="C226" s="38"/>
      <c r="D226" s="38"/>
      <c r="E226" s="38"/>
      <c r="F226" s="38"/>
      <c r="G226" s="38"/>
      <c r="L226" s="207"/>
      <c r="M226" s="208"/>
      <c r="N226" s="208"/>
      <c r="O226" s="214">
        <f>'Inputs and Driver'!N77</f>
        <v>6.25E-2</v>
      </c>
      <c r="P226" s="214">
        <f>'Inputs and Driver'!O77</f>
        <v>6.25E-2</v>
      </c>
      <c r="Q226" s="214">
        <f>'Inputs and Driver'!P77</f>
        <v>5.5E-2</v>
      </c>
      <c r="R226" s="214">
        <f>'Inputs and Driver'!Q77</f>
        <v>5.2500000000000005E-2</v>
      </c>
    </row>
    <row r="227" spans="1:18" x14ac:dyDescent="0.3">
      <c r="B227" s="72" t="s">
        <v>241</v>
      </c>
      <c r="L227" s="70"/>
      <c r="M227" s="70"/>
      <c r="N227" s="70"/>
      <c r="O227" s="215">
        <f>O220*O226</f>
        <v>0</v>
      </c>
      <c r="P227" s="215">
        <f>AVERAGE(P220,P222)*P226</f>
        <v>300.78125</v>
      </c>
      <c r="Q227" s="215">
        <f>AVERAGE(Q220,Q222)*Q226</f>
        <v>244.8359375</v>
      </c>
      <c r="R227" s="215">
        <f>AVERAGE(R220,R222)*R226</f>
        <v>216.17900390625002</v>
      </c>
    </row>
    <row r="228" spans="1:18" x14ac:dyDescent="0.3">
      <c r="B228" s="72"/>
      <c r="O228" s="215"/>
      <c r="P228" s="215"/>
      <c r="Q228" s="215"/>
      <c r="R228" s="215"/>
    </row>
    <row r="229" spans="1:18" ht="15" thickBot="1" x14ac:dyDescent="0.35">
      <c r="B229" s="72" t="s">
        <v>272</v>
      </c>
      <c r="L229" s="70"/>
      <c r="M229" s="70"/>
      <c r="N229" s="70"/>
      <c r="O229" s="288">
        <f>O222+O224</f>
        <v>4900</v>
      </c>
      <c r="P229" s="289">
        <v>0</v>
      </c>
      <c r="Q229" s="289">
        <v>0</v>
      </c>
      <c r="R229" s="289">
        <v>0</v>
      </c>
    </row>
    <row r="230" spans="1:18" x14ac:dyDescent="0.3">
      <c r="B230" s="3"/>
      <c r="C230" s="20"/>
      <c r="D230" s="20"/>
      <c r="E230" s="20"/>
    </row>
    <row r="231" spans="1:18" ht="18" x14ac:dyDescent="0.35">
      <c r="A231" s="60" t="s">
        <v>135</v>
      </c>
      <c r="B231" s="62" t="s">
        <v>273</v>
      </c>
      <c r="C231" s="63"/>
      <c r="D231" s="63"/>
      <c r="E231" s="63"/>
      <c r="F231" s="63"/>
      <c r="G231" s="63"/>
      <c r="H231" s="63"/>
      <c r="I231" s="63"/>
      <c r="J231" s="63"/>
      <c r="K231" s="63"/>
      <c r="L231" s="63"/>
      <c r="M231" s="63"/>
      <c r="N231" s="63"/>
      <c r="O231" s="63"/>
      <c r="P231" s="63"/>
      <c r="Q231" s="63"/>
      <c r="R231" s="150"/>
    </row>
    <row r="232" spans="1:18" ht="16.8" x14ac:dyDescent="0.35">
      <c r="B232" s="74"/>
    </row>
    <row r="233" spans="1:18" ht="15" thickBot="1" x14ac:dyDescent="0.35">
      <c r="B233" s="3" t="s">
        <v>7</v>
      </c>
      <c r="L233" s="73">
        <f>2026</f>
        <v>2026</v>
      </c>
      <c r="M233" s="73">
        <f t="shared" ref="M233" si="181">L233+1</f>
        <v>2027</v>
      </c>
      <c r="N233" s="73">
        <f t="shared" ref="N233" si="182">M233+1</f>
        <v>2028</v>
      </c>
      <c r="O233" s="73">
        <f t="shared" ref="O233" si="183">N233+1</f>
        <v>2029</v>
      </c>
      <c r="P233" s="73">
        <f t="shared" ref="P233" si="184">O233+1</f>
        <v>2030</v>
      </c>
      <c r="Q233" s="73">
        <f t="shared" ref="Q233" si="185">P233+1</f>
        <v>2031</v>
      </c>
      <c r="R233" s="73">
        <f>Q233+1</f>
        <v>2032</v>
      </c>
    </row>
    <row r="234" spans="1:18" x14ac:dyDescent="0.3">
      <c r="B234" s="71"/>
    </row>
    <row r="235" spans="1:18" x14ac:dyDescent="0.3">
      <c r="B235" s="38" t="s">
        <v>274</v>
      </c>
    </row>
    <row r="236" spans="1:18" x14ac:dyDescent="0.3">
      <c r="B236" t="s">
        <v>275</v>
      </c>
      <c r="L236" s="54">
        <f>L132</f>
        <v>-401.3</v>
      </c>
      <c r="M236" s="54">
        <f t="shared" ref="M236" si="186">M132</f>
        <v>-1499</v>
      </c>
      <c r="N236" s="136">
        <v>0</v>
      </c>
      <c r="O236" s="136">
        <v>0</v>
      </c>
      <c r="P236" s="136">
        <v>0</v>
      </c>
      <c r="Q236" s="136">
        <v>0</v>
      </c>
      <c r="R236" s="136">
        <v>0</v>
      </c>
    </row>
    <row r="237" spans="1:18" x14ac:dyDescent="0.3">
      <c r="B237" t="s">
        <v>276</v>
      </c>
      <c r="L237" s="136">
        <v>0</v>
      </c>
      <c r="M237" s="136">
        <v>0</v>
      </c>
      <c r="N237" s="136">
        <v>0</v>
      </c>
      <c r="O237" s="136">
        <v>0</v>
      </c>
      <c r="P237" s="136">
        <v>0</v>
      </c>
      <c r="Q237" s="136">
        <v>0</v>
      </c>
      <c r="R237" s="136">
        <v>0</v>
      </c>
    </row>
    <row r="238" spans="1:18" x14ac:dyDescent="0.3">
      <c r="B238" t="s">
        <v>86</v>
      </c>
      <c r="L238" s="136">
        <v>0</v>
      </c>
      <c r="M238" s="54">
        <f ca="1">SUM(M203:M205)</f>
        <v>1982.4444444444443</v>
      </c>
      <c r="N238" s="118">
        <f ca="1">SUM(N204:N205)</f>
        <v>-19.824444444444445</v>
      </c>
      <c r="O238" s="118">
        <f t="shared" ref="O238:Q238" ca="1" si="187">SUM(O204:O205)</f>
        <v>-19.626200000000001</v>
      </c>
      <c r="P238" s="118">
        <f t="shared" ca="1" si="187"/>
        <v>-19.429938</v>
      </c>
      <c r="Q238" s="118">
        <f t="shared" ca="1" si="187"/>
        <v>-19.23563862</v>
      </c>
      <c r="R238" s="118">
        <f t="shared" ref="R238" ca="1" si="188">SUM(R204:R205)</f>
        <v>-19.043282233799999</v>
      </c>
    </row>
    <row r="239" spans="1:18" x14ac:dyDescent="0.3">
      <c r="B239" t="s">
        <v>20</v>
      </c>
      <c r="L239" s="136">
        <v>0</v>
      </c>
      <c r="M239" s="10">
        <f>SUM(M185:M186)</f>
        <v>15209.333333333334</v>
      </c>
      <c r="N239" s="54">
        <f ca="1">SUM(N186:N187)</f>
        <v>-2347.8476528796155</v>
      </c>
      <c r="O239" s="54">
        <f ca="1">SUM(O186:O187)</f>
        <v>-1917.4973367654457</v>
      </c>
      <c r="P239" s="54">
        <f ca="1">SUM(P186:P187)</f>
        <v>-1960.8978420994677</v>
      </c>
      <c r="Q239" s="54">
        <f ca="1">SUM(Q186:Q187)</f>
        <v>-2197.8080483445219</v>
      </c>
      <c r="R239" s="54">
        <f ca="1">SUM(R186:R187)</f>
        <v>-2583.2093813494162</v>
      </c>
    </row>
    <row r="240" spans="1:18" x14ac:dyDescent="0.3">
      <c r="B240" t="s">
        <v>89</v>
      </c>
      <c r="L240" s="136">
        <v>0</v>
      </c>
      <c r="M240" s="136">
        <v>0</v>
      </c>
      <c r="N240" s="136">
        <v>0</v>
      </c>
      <c r="O240" s="54">
        <f>O222</f>
        <v>5000</v>
      </c>
      <c r="P240" s="136">
        <v>0</v>
      </c>
      <c r="Q240" s="136">
        <v>0</v>
      </c>
      <c r="R240" s="136">
        <v>0</v>
      </c>
    </row>
    <row r="241" spans="2:18" ht="15" thickBot="1" x14ac:dyDescent="0.35">
      <c r="B241" s="38" t="s">
        <v>277</v>
      </c>
      <c r="C241" s="38"/>
      <c r="D241" s="38"/>
      <c r="E241" s="38"/>
      <c r="F241" s="38"/>
      <c r="G241" s="38"/>
      <c r="L241" s="287">
        <f t="shared" ref="L241:R241" si="189">SUM(L236:L239)</f>
        <v>-401.3</v>
      </c>
      <c r="M241" s="287">
        <f t="shared" ca="1" si="189"/>
        <v>15692.777777777777</v>
      </c>
      <c r="N241" s="287">
        <f t="shared" ca="1" si="189"/>
        <v>-2367.6720973240599</v>
      </c>
      <c r="O241" s="287">
        <f t="shared" ca="1" si="189"/>
        <v>-1937.1235367654456</v>
      </c>
      <c r="P241" s="287">
        <f t="shared" ca="1" si="189"/>
        <v>-1980.3277800994676</v>
      </c>
      <c r="Q241" s="287">
        <f t="shared" ca="1" si="189"/>
        <v>-2217.0436869645218</v>
      </c>
      <c r="R241" s="287">
        <f t="shared" ca="1" si="189"/>
        <v>-2602.252663583216</v>
      </c>
    </row>
    <row r="242" spans="2:18" x14ac:dyDescent="0.3">
      <c r="B242" s="71"/>
    </row>
    <row r="243" spans="2:18" x14ac:dyDescent="0.3">
      <c r="B243" s="38" t="s">
        <v>278</v>
      </c>
    </row>
    <row r="244" spans="2:18" x14ac:dyDescent="0.3">
      <c r="B244" t="s">
        <v>275</v>
      </c>
      <c r="L244" s="256">
        <f>L133</f>
        <v>1498.7</v>
      </c>
      <c r="M244" s="136" cm="1">
        <f t="array" ref="M244">_xlfn.ANCHORARRAY(M133)*-1</f>
        <v>0.29999999999995453</v>
      </c>
      <c r="N244" s="136">
        <v>0</v>
      </c>
      <c r="O244" s="136">
        <v>0</v>
      </c>
      <c r="P244" s="136">
        <v>0</v>
      </c>
      <c r="Q244" s="136">
        <v>0</v>
      </c>
      <c r="R244" s="136">
        <v>0</v>
      </c>
    </row>
    <row r="245" spans="2:18" x14ac:dyDescent="0.3">
      <c r="B245" t="s">
        <v>276</v>
      </c>
      <c r="C245" s="38"/>
      <c r="D245" s="38"/>
      <c r="E245" s="38"/>
      <c r="F245" s="38"/>
      <c r="L245" s="136">
        <v>0</v>
      </c>
      <c r="M245" s="136">
        <v>0</v>
      </c>
      <c r="N245" s="136">
        <v>0</v>
      </c>
      <c r="O245" s="136">
        <v>0</v>
      </c>
      <c r="P245" s="136">
        <v>0</v>
      </c>
      <c r="Q245" s="136">
        <v>0</v>
      </c>
      <c r="R245" s="136">
        <v>0</v>
      </c>
    </row>
    <row r="246" spans="2:18" x14ac:dyDescent="0.3">
      <c r="B246" t="s">
        <v>86</v>
      </c>
      <c r="L246" s="136">
        <v>0</v>
      </c>
      <c r="M246" s="256">
        <f t="shared" ref="M246:R246" ca="1" si="190">M206</f>
        <v>1982.4444444444443</v>
      </c>
      <c r="N246" s="256">
        <f t="shared" ca="1" si="190"/>
        <v>1962.62</v>
      </c>
      <c r="O246" s="256">
        <f t="shared" ca="1" si="190"/>
        <v>1942.9938</v>
      </c>
      <c r="P246" s="256">
        <f t="shared" ca="1" si="190"/>
        <v>1923.563862</v>
      </c>
      <c r="Q246" s="256">
        <f t="shared" ca="1" si="190"/>
        <v>1904.3282233800001</v>
      </c>
      <c r="R246" s="256">
        <f t="shared" ca="1" si="190"/>
        <v>1885.2849411462</v>
      </c>
    </row>
    <row r="247" spans="2:18" x14ac:dyDescent="0.3">
      <c r="B247" t="s">
        <v>20</v>
      </c>
      <c r="L247" s="136">
        <v>0</v>
      </c>
      <c r="M247" s="256">
        <f t="shared" ref="M247:R247" ca="1" si="191">M188</f>
        <v>15049.702611575261</v>
      </c>
      <c r="N247" s="256">
        <f t="shared" ca="1" si="191"/>
        <v>12701.854958695647</v>
      </c>
      <c r="O247" s="256">
        <f t="shared" ca="1" si="191"/>
        <v>10784.357621930201</v>
      </c>
      <c r="P247" s="256">
        <f t="shared" ca="1" si="191"/>
        <v>8823.4597798307332</v>
      </c>
      <c r="Q247" s="256">
        <f t="shared" ca="1" si="191"/>
        <v>6625.6517314862103</v>
      </c>
      <c r="R247" s="256">
        <f t="shared" ca="1" si="191"/>
        <v>4042.4423501367942</v>
      </c>
    </row>
    <row r="248" spans="2:18" x14ac:dyDescent="0.3">
      <c r="B248" t="s">
        <v>89</v>
      </c>
      <c r="L248" s="136">
        <v>0</v>
      </c>
      <c r="M248" s="136">
        <v>0</v>
      </c>
      <c r="N248" s="136">
        <v>0</v>
      </c>
      <c r="O248" s="256">
        <f>O222</f>
        <v>5000</v>
      </c>
      <c r="P248" s="256">
        <f>P222</f>
        <v>4625</v>
      </c>
      <c r="Q248" s="256">
        <f>Q222</f>
        <v>4278.125</v>
      </c>
      <c r="R248" s="256">
        <f>R222</f>
        <v>3957.265625</v>
      </c>
    </row>
    <row r="249" spans="2:18" ht="15" thickBot="1" x14ac:dyDescent="0.35">
      <c r="B249" s="38" t="s">
        <v>279</v>
      </c>
      <c r="L249" s="290">
        <f>SUM(L244:L247)</f>
        <v>1498.7</v>
      </c>
      <c r="M249" s="290">
        <f ca="1">SUM(M244:M247)</f>
        <v>17032.447056019704</v>
      </c>
      <c r="N249" s="290">
        <f t="shared" ref="N249" ca="1" si="192">SUM(N244:N247)</f>
        <v>14664.474958695646</v>
      </c>
      <c r="O249" s="290">
        <f ca="1">SUM(O244:O248)</f>
        <v>17727.351421930201</v>
      </c>
      <c r="P249" s="290">
        <f t="shared" ref="P249:R249" ca="1" si="193">SUM(P244:P248)</f>
        <v>15372.023641830732</v>
      </c>
      <c r="Q249" s="290">
        <f t="shared" ca="1" si="193"/>
        <v>12808.10495486621</v>
      </c>
      <c r="R249" s="290">
        <f t="shared" ca="1" si="193"/>
        <v>9884.992916282994</v>
      </c>
    </row>
    <row r="250" spans="2:18" x14ac:dyDescent="0.3">
      <c r="B250" s="71"/>
    </row>
    <row r="251" spans="2:18" x14ac:dyDescent="0.3">
      <c r="B251" s="38" t="s">
        <v>280</v>
      </c>
    </row>
    <row r="252" spans="2:18" x14ac:dyDescent="0.3">
      <c r="B252" t="s">
        <v>275</v>
      </c>
      <c r="L252" s="54">
        <f t="shared" ref="L252:R252" si="194">L137</f>
        <v>-49.451084999999999</v>
      </c>
      <c r="M252" s="256">
        <f t="shared" si="194"/>
        <v>-5.3314433333333344</v>
      </c>
      <c r="N252" s="136">
        <f t="shared" si="194"/>
        <v>0</v>
      </c>
      <c r="O252" s="136">
        <f t="shared" si="194"/>
        <v>0</v>
      </c>
      <c r="P252" s="136">
        <f t="shared" si="194"/>
        <v>0</v>
      </c>
      <c r="Q252" s="136">
        <f t="shared" si="194"/>
        <v>0</v>
      </c>
      <c r="R252" s="136">
        <f t="shared" si="194"/>
        <v>0</v>
      </c>
    </row>
    <row r="253" spans="2:18" x14ac:dyDescent="0.3">
      <c r="B253" t="s">
        <v>276</v>
      </c>
      <c r="L253" s="136">
        <f t="shared" ref="L253" si="195">L138</f>
        <v>0</v>
      </c>
      <c r="M253" s="256">
        <f t="shared" ref="M253:R253" ca="1" si="196">SUM(M160,M168)</f>
        <v>-2.1944444444444446</v>
      </c>
      <c r="N253" s="256">
        <f t="shared" ca="1" si="196"/>
        <v>-2.5</v>
      </c>
      <c r="O253" s="256">
        <f t="shared" ca="1" si="196"/>
        <v>-2.5</v>
      </c>
      <c r="P253" s="256">
        <f t="shared" ca="1" si="196"/>
        <v>-2.5</v>
      </c>
      <c r="Q253" s="256">
        <f t="shared" ca="1" si="196"/>
        <v>-2.5</v>
      </c>
      <c r="R253" s="256">
        <f t="shared" ca="1" si="196"/>
        <v>-2.5</v>
      </c>
    </row>
    <row r="254" spans="2:18" x14ac:dyDescent="0.3">
      <c r="B254" t="s">
        <v>86</v>
      </c>
      <c r="L254" s="136">
        <f t="shared" ref="L254" si="197">L139</f>
        <v>0</v>
      </c>
      <c r="M254" s="256">
        <f t="shared" ref="M254:R254" ca="1" si="198">M209*-1</f>
        <v>-109.2406635802469</v>
      </c>
      <c r="N254" s="256">
        <f t="shared" ca="1" si="198"/>
        <v>-113.42060277777777</v>
      </c>
      <c r="O254" s="256">
        <f t="shared" ca="1" si="198"/>
        <v>-112.28639675000001</v>
      </c>
      <c r="P254" s="256">
        <f t="shared" ca="1" si="198"/>
        <v>-111.16353278250001</v>
      </c>
      <c r="Q254" s="256">
        <f t="shared" ca="1" si="198"/>
        <v>-95.697302134500006</v>
      </c>
      <c r="R254" s="256">
        <f t="shared" ca="1" si="198"/>
        <v>-90.003312657497261</v>
      </c>
    </row>
    <row r="255" spans="2:18" x14ac:dyDescent="0.3">
      <c r="B255" t="s">
        <v>20</v>
      </c>
      <c r="L255" s="136">
        <f t="shared" ref="L255" si="199">L140</f>
        <v>0</v>
      </c>
      <c r="M255" s="256">
        <f t="shared" ref="M255:R255" ca="1" si="200">M191*-1</f>
        <v>-949.47243986791716</v>
      </c>
      <c r="N255" s="256">
        <f t="shared" ca="1" si="200"/>
        <v>-867.23617407096594</v>
      </c>
      <c r="O255" s="256">
        <f t="shared" ca="1" si="200"/>
        <v>-733.94414314455776</v>
      </c>
      <c r="P255" s="256">
        <f t="shared" ca="1" si="200"/>
        <v>-612.7442938050292</v>
      </c>
      <c r="Q255" s="256">
        <f t="shared" ca="1" si="200"/>
        <v>-424.85056656121594</v>
      </c>
      <c r="R255" s="256">
        <f t="shared" ca="1" si="200"/>
        <v>-280.03746964260392</v>
      </c>
    </row>
    <row r="256" spans="2:18" x14ac:dyDescent="0.3">
      <c r="B256" t="s">
        <v>89</v>
      </c>
      <c r="L256" s="136">
        <f t="shared" ref="L256:O256" si="201">L141</f>
        <v>0</v>
      </c>
      <c r="M256" s="136">
        <f t="shared" si="201"/>
        <v>0</v>
      </c>
      <c r="N256" s="136">
        <f t="shared" si="201"/>
        <v>0</v>
      </c>
      <c r="O256" s="136">
        <f t="shared" si="201"/>
        <v>0</v>
      </c>
      <c r="P256" s="256">
        <f>P227*-1</f>
        <v>-300.78125</v>
      </c>
      <c r="Q256" s="256">
        <f>Q227*-1</f>
        <v>-244.8359375</v>
      </c>
      <c r="R256" s="256">
        <f>R227*-1</f>
        <v>-216.17900390625002</v>
      </c>
    </row>
    <row r="257" spans="1:18" ht="15" thickBot="1" x14ac:dyDescent="0.35">
      <c r="B257" s="38" t="s">
        <v>48</v>
      </c>
      <c r="L257" s="291">
        <f t="shared" ref="L257:N257" si="202">SUM(L252:L255)</f>
        <v>-49.451084999999999</v>
      </c>
      <c r="M257" s="290">
        <f t="shared" ca="1" si="202"/>
        <v>-1066.2389912259418</v>
      </c>
      <c r="N257" s="290">
        <f t="shared" ca="1" si="202"/>
        <v>-983.15677684874368</v>
      </c>
      <c r="O257" s="290">
        <f ca="1">SUM(O252:O256)</f>
        <v>-848.73053989455775</v>
      </c>
      <c r="P257" s="290">
        <f t="shared" ref="P257:R257" ca="1" si="203">SUM(P252:P256)</f>
        <v>-1027.1890765875291</v>
      </c>
      <c r="Q257" s="290">
        <f t="shared" ca="1" si="203"/>
        <v>-767.88380619571592</v>
      </c>
      <c r="R257" s="290">
        <f t="shared" ca="1" si="203"/>
        <v>-588.71978620635116</v>
      </c>
    </row>
    <row r="260" spans="1:18" ht="18" x14ac:dyDescent="0.35">
      <c r="A260" s="60" t="s">
        <v>135</v>
      </c>
      <c r="B260" s="62" t="s">
        <v>281</v>
      </c>
      <c r="C260" s="63"/>
      <c r="D260" s="63"/>
      <c r="E260" s="63"/>
      <c r="F260" s="63"/>
      <c r="G260" s="63"/>
      <c r="H260" s="63"/>
      <c r="I260" s="63"/>
      <c r="J260" s="63"/>
      <c r="K260" s="63"/>
      <c r="L260" s="63"/>
      <c r="M260" s="63"/>
      <c r="N260" s="63"/>
      <c r="O260" s="63"/>
      <c r="P260" s="63"/>
      <c r="Q260" s="63"/>
      <c r="R260" s="150"/>
    </row>
    <row r="261" spans="1:18" ht="16.8" x14ac:dyDescent="0.35">
      <c r="B261" s="74"/>
    </row>
    <row r="262" spans="1:18" ht="15" thickBot="1" x14ac:dyDescent="0.35">
      <c r="B262" s="3" t="s">
        <v>7</v>
      </c>
      <c r="L262" s="73">
        <f>2026</f>
        <v>2026</v>
      </c>
      <c r="M262" s="73">
        <f t="shared" ref="M262" si="204">L262+1</f>
        <v>2027</v>
      </c>
      <c r="N262" s="73">
        <f t="shared" ref="N262" si="205">M262+1</f>
        <v>2028</v>
      </c>
      <c r="O262" s="73">
        <f t="shared" ref="O262" si="206">N262+1</f>
        <v>2029</v>
      </c>
      <c r="P262" s="73">
        <f t="shared" ref="P262" si="207">O262+1</f>
        <v>2030</v>
      </c>
      <c r="Q262" s="73">
        <f t="shared" ref="Q262" si="208">P262+1</f>
        <v>2031</v>
      </c>
      <c r="R262" s="73">
        <f>Q262+1</f>
        <v>2032</v>
      </c>
    </row>
    <row r="264" spans="1:18" x14ac:dyDescent="0.3">
      <c r="B264" s="38" t="s">
        <v>282</v>
      </c>
    </row>
    <row r="265" spans="1:18" x14ac:dyDescent="0.3">
      <c r="B265" t="s">
        <v>283</v>
      </c>
      <c r="L265" s="32"/>
      <c r="M265" s="32">
        <f>SUM('Transaction Details'!F11,'Transaction Details'!F12)</f>
        <v>35999.840969999997</v>
      </c>
      <c r="N265" s="10">
        <f>M267</f>
        <v>35999.840969999997</v>
      </c>
      <c r="O265" s="10">
        <f t="shared" ref="O265:R265" si="209">N267</f>
        <v>35999.840969999997</v>
      </c>
      <c r="P265" s="10">
        <f t="shared" si="209"/>
        <v>35999.840969999997</v>
      </c>
      <c r="Q265" s="10">
        <f t="shared" si="209"/>
        <v>35999.840969999997</v>
      </c>
      <c r="R265" s="10">
        <f t="shared" si="209"/>
        <v>35999.840969999997</v>
      </c>
    </row>
    <row r="266" spans="1:18" x14ac:dyDescent="0.3">
      <c r="B266" t="s">
        <v>284</v>
      </c>
      <c r="L266" s="136"/>
      <c r="M266" s="136">
        <v>0</v>
      </c>
      <c r="N266" s="136">
        <v>0</v>
      </c>
      <c r="O266" s="136">
        <v>0</v>
      </c>
      <c r="P266" s="136">
        <v>0</v>
      </c>
      <c r="Q266" s="136">
        <v>0</v>
      </c>
      <c r="R266" s="136">
        <v>0</v>
      </c>
    </row>
    <row r="267" spans="1:18" x14ac:dyDescent="0.3">
      <c r="B267" t="s">
        <v>285</v>
      </c>
      <c r="L267" s="10"/>
      <c r="M267" s="10">
        <f>SUM(M265:M266)</f>
        <v>35999.840969999997</v>
      </c>
      <c r="N267" s="10">
        <f t="shared" ref="N267:Q267" si="210">SUM(N265:N266)</f>
        <v>35999.840969999997</v>
      </c>
      <c r="O267" s="10">
        <f t="shared" si="210"/>
        <v>35999.840969999997</v>
      </c>
      <c r="P267" s="10">
        <f t="shared" si="210"/>
        <v>35999.840969999997</v>
      </c>
      <c r="Q267" s="10">
        <f t="shared" si="210"/>
        <v>35999.840969999997</v>
      </c>
      <c r="R267" s="10">
        <f t="shared" ref="R267" si="211">SUM(R265:R266)</f>
        <v>35999.840969999997</v>
      </c>
    </row>
    <row r="269" spans="1:18" x14ac:dyDescent="0.3">
      <c r="B269" s="38" t="s">
        <v>286</v>
      </c>
    </row>
    <row r="270" spans="1:18" x14ac:dyDescent="0.3">
      <c r="B270" t="s">
        <v>283</v>
      </c>
      <c r="L270" s="10"/>
      <c r="M270" s="312">
        <f>-'Transaction Details'!O25</f>
        <v>-1153.9739999999999</v>
      </c>
      <c r="N270" s="136">
        <f ca="1">M273</f>
        <v>-707.81381774149213</v>
      </c>
      <c r="O270" s="136">
        <f t="shared" ref="O270:R270" ca="1" si="212">N273</f>
        <v>-127.11529365711385</v>
      </c>
      <c r="P270" s="136">
        <f t="shared" ca="1" si="212"/>
        <v>-4167.0560796290038</v>
      </c>
      <c r="Q270" s="136">
        <f t="shared" ca="1" si="212"/>
        <v>-3212.8905769863259</v>
      </c>
      <c r="R270" s="136">
        <f t="shared" ca="1" si="212"/>
        <v>-1898.4360310873076</v>
      </c>
    </row>
    <row r="271" spans="1:18" x14ac:dyDescent="0.3">
      <c r="B271" t="s">
        <v>189</v>
      </c>
      <c r="M271" s="313">
        <f t="shared" ref="M271:R271" ca="1" si="213">M36</f>
        <v>446.16018225850775</v>
      </c>
      <c r="N271" s="136">
        <f t="shared" ca="1" si="213"/>
        <v>580.69852408437828</v>
      </c>
      <c r="O271" s="136">
        <f t="shared" ca="1" si="213"/>
        <v>860.05921402811032</v>
      </c>
      <c r="P271" s="136">
        <f t="shared" ca="1" si="213"/>
        <v>954.16550264267778</v>
      </c>
      <c r="Q271" s="136">
        <f t="shared" ca="1" si="213"/>
        <v>1314.4545458990183</v>
      </c>
      <c r="R271" s="136">
        <f t="shared" ca="1" si="213"/>
        <v>1698.415153371818</v>
      </c>
    </row>
    <row r="272" spans="1:18" x14ac:dyDescent="0.3">
      <c r="B272" t="s">
        <v>287</v>
      </c>
      <c r="M272" s="136">
        <f>M229</f>
        <v>0</v>
      </c>
      <c r="N272" s="136">
        <f t="shared" ref="N272:R272" si="214">N229</f>
        <v>0</v>
      </c>
      <c r="O272" s="136">
        <f>O229*-1</f>
        <v>-4900</v>
      </c>
      <c r="P272" s="136">
        <f t="shared" si="214"/>
        <v>0</v>
      </c>
      <c r="Q272" s="136">
        <f t="shared" si="214"/>
        <v>0</v>
      </c>
      <c r="R272" s="136">
        <f t="shared" si="214"/>
        <v>0</v>
      </c>
    </row>
    <row r="273" spans="1:18" ht="15" thickBot="1" x14ac:dyDescent="0.35">
      <c r="B273" s="38" t="s">
        <v>288</v>
      </c>
      <c r="M273" s="291">
        <f ca="1">SUM(M270:M271)+M272</f>
        <v>-707.81381774149213</v>
      </c>
      <c r="N273" s="291">
        <f t="shared" ref="N273:R273" ca="1" si="215">SUM(N270:N271)+N272</f>
        <v>-127.11529365711385</v>
      </c>
      <c r="O273" s="291">
        <f t="shared" ca="1" si="215"/>
        <v>-4167.0560796290038</v>
      </c>
      <c r="P273" s="291">
        <f t="shared" ca="1" si="215"/>
        <v>-3212.8905769863259</v>
      </c>
      <c r="Q273" s="291">
        <f t="shared" ca="1" si="215"/>
        <v>-1898.4360310873076</v>
      </c>
      <c r="R273" s="291">
        <f t="shared" ca="1" si="215"/>
        <v>-200.02087771548963</v>
      </c>
    </row>
    <row r="276" spans="1:18" ht="18" x14ac:dyDescent="0.35">
      <c r="A276" s="60" t="s">
        <v>135</v>
      </c>
      <c r="B276" s="62" t="s">
        <v>289</v>
      </c>
      <c r="C276" s="63"/>
      <c r="D276" s="63"/>
      <c r="E276" s="63"/>
      <c r="F276" s="63"/>
      <c r="G276" s="63"/>
      <c r="H276" s="63"/>
      <c r="I276" s="63"/>
      <c r="J276" s="63"/>
      <c r="K276" s="63"/>
      <c r="L276" s="63"/>
      <c r="M276" s="63"/>
      <c r="N276" s="63"/>
      <c r="O276" s="63"/>
      <c r="P276" s="63"/>
      <c r="Q276" s="63"/>
      <c r="R276" s="150"/>
    </row>
    <row r="277" spans="1:18" ht="16.8" x14ac:dyDescent="0.35">
      <c r="B277" s="74"/>
    </row>
    <row r="278" spans="1:18" ht="15" thickBot="1" x14ac:dyDescent="0.35">
      <c r="B278" s="3" t="s">
        <v>7</v>
      </c>
      <c r="L278" s="75" t="s">
        <v>290</v>
      </c>
      <c r="M278" s="73">
        <v>2027</v>
      </c>
      <c r="N278" s="73">
        <f t="shared" ref="N278" si="216">M278+1</f>
        <v>2028</v>
      </c>
      <c r="O278" s="73">
        <f t="shared" ref="O278" si="217">N278+1</f>
        <v>2029</v>
      </c>
      <c r="P278" s="73">
        <f t="shared" ref="P278" si="218">O278+1</f>
        <v>2030</v>
      </c>
      <c r="Q278" s="73">
        <f t="shared" ref="Q278" si="219">P278+1</f>
        <v>2031</v>
      </c>
      <c r="R278" s="73">
        <f>Q278+1</f>
        <v>2032</v>
      </c>
    </row>
    <row r="280" spans="1:18" x14ac:dyDescent="0.3">
      <c r="K280" s="94"/>
      <c r="L280" s="94"/>
      <c r="M280" s="94"/>
      <c r="N280" s="94"/>
      <c r="O280" s="94" t="s">
        <v>291</v>
      </c>
      <c r="P280" s="94"/>
      <c r="Q280" s="94"/>
    </row>
    <row r="281" spans="1:18" x14ac:dyDescent="0.3">
      <c r="L281" s="27">
        <v>46157</v>
      </c>
      <c r="M281" s="27">
        <v>46478</v>
      </c>
      <c r="N281" s="27">
        <v>46844</v>
      </c>
      <c r="O281" s="27">
        <v>47209</v>
      </c>
      <c r="P281" s="27">
        <v>47574</v>
      </c>
      <c r="Q281" s="27">
        <v>47939</v>
      </c>
      <c r="R281" s="27">
        <v>48305</v>
      </c>
    </row>
    <row r="282" spans="1:18" x14ac:dyDescent="0.3">
      <c r="B282" s="38" t="s">
        <v>292</v>
      </c>
    </row>
    <row r="283" spans="1:18" x14ac:dyDescent="0.3">
      <c r="B283" t="s">
        <v>19</v>
      </c>
      <c r="L283" s="148">
        <f t="shared" ref="L283:R283" si="220">L38</f>
        <v>1908.4655200000007</v>
      </c>
      <c r="M283" s="10">
        <f t="shared" si="220"/>
        <v>2046.9037940000005</v>
      </c>
      <c r="N283" s="10">
        <f t="shared" ca="1" si="220"/>
        <v>2171.2954749692867</v>
      </c>
      <c r="O283" s="10">
        <f t="shared" ca="1" si="220"/>
        <v>2460.7067627786032</v>
      </c>
      <c r="P283" s="10">
        <f t="shared" ca="1" si="220"/>
        <v>2804.5854509795722</v>
      </c>
      <c r="Q283" s="10">
        <f t="shared" ca="1" si="220"/>
        <v>3078.9475554800115</v>
      </c>
      <c r="R283" s="10">
        <f t="shared" ca="1" si="220"/>
        <v>3478.5399786679604</v>
      </c>
    </row>
    <row r="284" spans="1:18" x14ac:dyDescent="0.3">
      <c r="B284" t="s">
        <v>94</v>
      </c>
      <c r="L284" s="149">
        <f>Outputs!$AD$97</f>
        <v>23.5</v>
      </c>
      <c r="M284" s="147">
        <f>Outputs!$AD$97</f>
        <v>23.5</v>
      </c>
      <c r="N284" s="147">
        <f>Outputs!$AD$97</f>
        <v>23.5</v>
      </c>
      <c r="O284" s="147">
        <f>Outputs!$AD$97</f>
        <v>23.5</v>
      </c>
      <c r="P284" s="147">
        <f>Outputs!$AD$97</f>
        <v>23.5</v>
      </c>
      <c r="Q284" s="147">
        <f>Outputs!$AD$97</f>
        <v>23.5</v>
      </c>
      <c r="R284" s="147">
        <f>Outputs!$AD$97</f>
        <v>23.5</v>
      </c>
    </row>
    <row r="285" spans="1:18" x14ac:dyDescent="0.3">
      <c r="B285" s="38" t="s">
        <v>292</v>
      </c>
      <c r="L285" s="148">
        <f t="shared" ref="L285:Q285" si="221">L283*L284</f>
        <v>44848.939720000017</v>
      </c>
      <c r="M285" s="10">
        <f t="shared" si="221"/>
        <v>48102.239159000012</v>
      </c>
      <c r="N285" s="10">
        <f t="shared" ca="1" si="221"/>
        <v>51025.443661778241</v>
      </c>
      <c r="O285" s="10">
        <f t="shared" ca="1" si="221"/>
        <v>57826.608925297172</v>
      </c>
      <c r="P285" s="10">
        <f t="shared" ca="1" si="221"/>
        <v>65907.758098019942</v>
      </c>
      <c r="Q285" s="10">
        <f t="shared" ca="1" si="221"/>
        <v>72355.267553780272</v>
      </c>
      <c r="R285" s="10">
        <f t="shared" ref="R285" ca="1" si="222">R283*R284</f>
        <v>81745.689498697073</v>
      </c>
    </row>
    <row r="286" spans="1:18" x14ac:dyDescent="0.3">
      <c r="L286" s="70"/>
    </row>
    <row r="287" spans="1:18" x14ac:dyDescent="0.3">
      <c r="B287" t="s">
        <v>52</v>
      </c>
      <c r="L287" s="119">
        <f t="shared" ref="L287:R287" si="223">L249</f>
        <v>1498.7</v>
      </c>
      <c r="M287" s="54">
        <f t="shared" ca="1" si="223"/>
        <v>17032.447056019704</v>
      </c>
      <c r="N287" s="54">
        <f t="shared" ca="1" si="223"/>
        <v>14664.474958695646</v>
      </c>
      <c r="O287" s="54">
        <f t="shared" ca="1" si="223"/>
        <v>17727.351421930201</v>
      </c>
      <c r="P287" s="54">
        <f t="shared" ca="1" si="223"/>
        <v>15372.023641830732</v>
      </c>
      <c r="Q287" s="54">
        <f t="shared" ca="1" si="223"/>
        <v>12808.10495486621</v>
      </c>
      <c r="R287" s="54">
        <f t="shared" ca="1" si="223"/>
        <v>9884.992916282994</v>
      </c>
    </row>
    <row r="288" spans="1:18" x14ac:dyDescent="0.3">
      <c r="B288" t="s">
        <v>208</v>
      </c>
      <c r="L288" s="119">
        <f t="shared" ref="L288:R288" si="224">L77</f>
        <v>1291.4472255136998</v>
      </c>
      <c r="M288" s="54">
        <f t="shared" ca="1" si="224"/>
        <v>1788.0472105860247</v>
      </c>
      <c r="N288" s="54">
        <f t="shared" ca="1" si="224"/>
        <v>930.62777983019464</v>
      </c>
      <c r="O288" s="54">
        <f t="shared" ca="1" si="224"/>
        <v>881.09158057398918</v>
      </c>
      <c r="P288" s="54">
        <f t="shared" ca="1" si="224"/>
        <v>972.25830915594793</v>
      </c>
      <c r="Q288" s="54">
        <f t="shared" ca="1" si="224"/>
        <v>1129.6642915882787</v>
      </c>
      <c r="R288" s="54">
        <f t="shared" ca="1" si="224"/>
        <v>1346.043724523691</v>
      </c>
    </row>
    <row r="289" spans="2:18" x14ac:dyDescent="0.3">
      <c r="B289" s="38" t="s">
        <v>293</v>
      </c>
      <c r="L289" s="119">
        <f t="shared" ref="L289:Q289" si="225">L287-L288</f>
        <v>207.25277448630027</v>
      </c>
      <c r="M289" s="54">
        <f t="shared" ca="1" si="225"/>
        <v>15244.39984543368</v>
      </c>
      <c r="N289" s="54">
        <f t="shared" ca="1" si="225"/>
        <v>13733.847178865451</v>
      </c>
      <c r="O289" s="54">
        <f t="shared" ca="1" si="225"/>
        <v>16846.259841356212</v>
      </c>
      <c r="P289" s="54">
        <f t="shared" ca="1" si="225"/>
        <v>14399.765332674784</v>
      </c>
      <c r="Q289" s="54">
        <f t="shared" ca="1" si="225"/>
        <v>11678.440663277932</v>
      </c>
      <c r="R289" s="54">
        <f t="shared" ref="R289" ca="1" si="226">R287-R288</f>
        <v>8538.9491917593023</v>
      </c>
    </row>
    <row r="291" spans="2:18" x14ac:dyDescent="0.3">
      <c r="B291" s="38" t="s">
        <v>294</v>
      </c>
      <c r="L291" s="70"/>
    </row>
    <row r="292" spans="2:18" x14ac:dyDescent="0.3">
      <c r="B292" t="s">
        <v>292</v>
      </c>
      <c r="L292" s="70"/>
      <c r="M292" s="256">
        <f t="shared" ref="M292:R292" si="227">M285</f>
        <v>48102.239159000012</v>
      </c>
      <c r="N292" s="256">
        <f t="shared" ca="1" si="227"/>
        <v>51025.443661778241</v>
      </c>
      <c r="O292" s="256">
        <f t="shared" ca="1" si="227"/>
        <v>57826.608925297172</v>
      </c>
      <c r="P292" s="256">
        <f t="shared" ca="1" si="227"/>
        <v>65907.758098019942</v>
      </c>
      <c r="Q292" s="256">
        <f t="shared" ca="1" si="227"/>
        <v>72355.267553780272</v>
      </c>
      <c r="R292" s="256">
        <f t="shared" ca="1" si="227"/>
        <v>81745.689498697073</v>
      </c>
    </row>
    <row r="293" spans="2:18" x14ac:dyDescent="0.3">
      <c r="B293" t="s">
        <v>27</v>
      </c>
      <c r="L293" s="70"/>
      <c r="M293" s="256">
        <f t="shared" ref="M293:R293" ca="1" si="228">M289*-1</f>
        <v>-15244.39984543368</v>
      </c>
      <c r="N293" s="256">
        <f t="shared" ca="1" si="228"/>
        <v>-13733.847178865451</v>
      </c>
      <c r="O293" s="256">
        <f t="shared" ca="1" si="228"/>
        <v>-16846.259841356212</v>
      </c>
      <c r="P293" s="256">
        <f t="shared" ca="1" si="228"/>
        <v>-14399.765332674784</v>
      </c>
      <c r="Q293" s="256">
        <f t="shared" ca="1" si="228"/>
        <v>-11678.440663277932</v>
      </c>
      <c r="R293" s="256">
        <f t="shared" ca="1" si="228"/>
        <v>-8538.9491917593023</v>
      </c>
    </row>
    <row r="294" spans="2:18" x14ac:dyDescent="0.3">
      <c r="B294" t="s">
        <v>294</v>
      </c>
      <c r="L294" s="70"/>
      <c r="M294" s="256">
        <f t="shared" ref="M294:R294" ca="1" si="229">SUM(M292:M293)</f>
        <v>32857.839313566335</v>
      </c>
      <c r="N294" s="256">
        <f t="shared" ca="1" si="229"/>
        <v>37291.596482912792</v>
      </c>
      <c r="O294" s="256">
        <f t="shared" ca="1" si="229"/>
        <v>40980.349083940964</v>
      </c>
      <c r="P294" s="256">
        <f t="shared" ca="1" si="229"/>
        <v>51507.99276534516</v>
      </c>
      <c r="Q294" s="256">
        <f t="shared" ca="1" si="229"/>
        <v>60676.826890502343</v>
      </c>
      <c r="R294" s="256">
        <f t="shared" ca="1" si="229"/>
        <v>73206.740306937776</v>
      </c>
    </row>
    <row r="295" spans="2:18" x14ac:dyDescent="0.3">
      <c r="B295" t="s">
        <v>287</v>
      </c>
      <c r="L295" s="70"/>
      <c r="M295" s="256">
        <f t="shared" ref="M295:R295" si="230">(M272)*-1</f>
        <v>0</v>
      </c>
      <c r="N295" s="256">
        <f t="shared" si="230"/>
        <v>0</v>
      </c>
      <c r="O295" s="256">
        <f t="shared" si="230"/>
        <v>4900</v>
      </c>
      <c r="P295" s="256">
        <f t="shared" si="230"/>
        <v>0</v>
      </c>
      <c r="Q295" s="256">
        <f t="shared" si="230"/>
        <v>0</v>
      </c>
      <c r="R295" s="256">
        <f t="shared" si="230"/>
        <v>0</v>
      </c>
    </row>
    <row r="297" spans="2:18" ht="15" thickBot="1" x14ac:dyDescent="0.35">
      <c r="B297" s="77" t="s">
        <v>295</v>
      </c>
      <c r="C297" s="152"/>
      <c r="D297" s="77" t="s">
        <v>84</v>
      </c>
      <c r="E297" s="77" t="s">
        <v>85</v>
      </c>
      <c r="K297" s="94"/>
      <c r="L297" s="77" t="s">
        <v>290</v>
      </c>
      <c r="M297" s="78">
        <v>0</v>
      </c>
      <c r="N297" s="79">
        <v>1</v>
      </c>
      <c r="O297" s="79">
        <f>N297+1</f>
        <v>2</v>
      </c>
      <c r="P297" s="79">
        <f>O297+1</f>
        <v>3</v>
      </c>
      <c r="Q297" s="79">
        <f>P297+1</f>
        <v>4</v>
      </c>
      <c r="R297" s="79">
        <f>Q297+1</f>
        <v>5</v>
      </c>
    </row>
    <row r="298" spans="2:18" x14ac:dyDescent="0.3">
      <c r="B298" s="151">
        <v>5</v>
      </c>
      <c r="D298" s="153">
        <f ca="1">IFERROR(XIRR(L298:R298,$L$281:$R$281), "N/A")</f>
        <v>0.14677751660346988</v>
      </c>
      <c r="E298" s="156">
        <f ca="1">R298/-L298</f>
        <v>2.0335295471983796</v>
      </c>
      <c r="K298" s="80"/>
      <c r="L298" s="80">
        <f>SUM('Transaction Details'!F11:F12)*-1</f>
        <v>-35999.840969999997</v>
      </c>
      <c r="M298" s="190">
        <f>IF($B298=M$297,$R$294,0)</f>
        <v>0</v>
      </c>
      <c r="N298" s="190">
        <f>IF($B298=N$297,$R$294,0)</f>
        <v>0</v>
      </c>
      <c r="O298" s="190">
        <f>$O$229</f>
        <v>4900</v>
      </c>
      <c r="P298" s="190">
        <f>IF($B298=P$297,$R$294,0)</f>
        <v>0</v>
      </c>
      <c r="Q298" s="190">
        <f>IF($B298=Q$297,$R$294,0)</f>
        <v>0</v>
      </c>
      <c r="R298" s="82">
        <f ca="1">IF($B298=R$297,$R$294,"0")</f>
        <v>73206.740306937776</v>
      </c>
    </row>
    <row r="299" spans="2:18" x14ac:dyDescent="0.3">
      <c r="B299" s="151">
        <f>B298-1</f>
        <v>4</v>
      </c>
      <c r="D299" s="153">
        <f t="shared" ref="D299:D302" ca="1" si="231">IFERROR(XIRR(L299:R299,$L$281:$R$281), "N/A")</f>
        <v>0.13567026257514958</v>
      </c>
      <c r="E299" s="156">
        <f ca="1">Q299/-L299</f>
        <v>1.6854748592102557</v>
      </c>
      <c r="K299" s="82"/>
      <c r="L299" s="82">
        <f>(L298)</f>
        <v>-35999.840969999997</v>
      </c>
      <c r="M299" s="190">
        <f>IF($B299=M$297,$Q$294,0)</f>
        <v>0</v>
      </c>
      <c r="N299" s="190">
        <f>IF($B299=N$297,$Q$294,0)</f>
        <v>0</v>
      </c>
      <c r="O299" s="190">
        <f t="shared" ref="O299:O300" si="232">$O$229</f>
        <v>4900</v>
      </c>
      <c r="P299" s="190">
        <f>IF($B299=P$297,$Q$294,0)</f>
        <v>0</v>
      </c>
      <c r="Q299" s="190">
        <f ca="1">IF($B299=Q$297,$Q$294,0)</f>
        <v>60676.826890502343</v>
      </c>
      <c r="R299" s="82"/>
    </row>
    <row r="300" spans="2:18" x14ac:dyDescent="0.3">
      <c r="B300" s="151">
        <f>B299-1</f>
        <v>3</v>
      </c>
      <c r="D300" s="153">
        <f t="shared" ca="1" si="231"/>
        <v>0.12578480839729311</v>
      </c>
      <c r="E300" s="156">
        <f ca="1">P300/-L300</f>
        <v>1.4307838973030098</v>
      </c>
      <c r="K300" s="82"/>
      <c r="L300" s="82">
        <f>(L299)</f>
        <v>-35999.840969999997</v>
      </c>
      <c r="M300" s="190">
        <f>IF($B300=M$297,$P$294,0)</f>
        <v>0</v>
      </c>
      <c r="N300" s="190">
        <f>IF($B300=N$297,$P$294,0)</f>
        <v>0</v>
      </c>
      <c r="O300" s="190">
        <f t="shared" si="232"/>
        <v>4900</v>
      </c>
      <c r="P300" s="190">
        <f ca="1">IF($B300=P$297,$P$294,0)</f>
        <v>51507.99276534516</v>
      </c>
      <c r="Q300" s="190"/>
      <c r="R300" s="82"/>
    </row>
    <row r="301" spans="2:18" x14ac:dyDescent="0.3">
      <c r="B301" s="151">
        <f>B300-1</f>
        <v>2</v>
      </c>
      <c r="D301" s="153">
        <f t="shared" ca="1" si="231"/>
        <v>4.5984134078025818E-2</v>
      </c>
      <c r="E301" s="156">
        <f ca="1">O301/-L301</f>
        <v>1.1383480587620209</v>
      </c>
      <c r="K301" s="82"/>
      <c r="L301" s="82">
        <f>(L300)</f>
        <v>-35999.840969999997</v>
      </c>
      <c r="M301" s="190">
        <f>IF($B301=M$297,$O$294,0)</f>
        <v>0</v>
      </c>
      <c r="N301" s="190">
        <f>IF($B301=N$297,$O$294,0)</f>
        <v>0</v>
      </c>
      <c r="O301" s="190">
        <f ca="1">IF($B301=O$297,$O$294,0)</f>
        <v>40980.349083940964</v>
      </c>
      <c r="P301" s="190"/>
      <c r="Q301" s="190"/>
      <c r="R301" s="82"/>
    </row>
    <row r="302" spans="2:18" x14ac:dyDescent="0.3">
      <c r="B302" s="151">
        <f>B301-1</f>
        <v>1</v>
      </c>
      <c r="D302" s="153">
        <f t="shared" ca="1" si="231"/>
        <v>1.8906524777412417E-2</v>
      </c>
      <c r="E302" s="156">
        <f ca="1">N302/-L302</f>
        <v>1.0358822560907772</v>
      </c>
      <c r="K302" s="82"/>
      <c r="L302" s="82">
        <f>(L301)</f>
        <v>-35999.840969999997</v>
      </c>
      <c r="M302" s="190">
        <f>IF($B302=M$297,M294,0)</f>
        <v>0</v>
      </c>
      <c r="N302" s="190">
        <f ca="1">IF($B302=N$297,N294,0)</f>
        <v>37291.596482912792</v>
      </c>
      <c r="O302" s="190"/>
      <c r="P302" s="190"/>
      <c r="Q302" s="190"/>
      <c r="R302" s="82"/>
    </row>
    <row r="303" spans="2:18" x14ac:dyDescent="0.3">
      <c r="B303" s="151">
        <f>B302-1</f>
        <v>0</v>
      </c>
      <c r="D303" s="153">
        <f ca="1">IFERROR(XIRR(L303:R303,$L$281:$R$281), "N/A")</f>
        <v>-9.8632401227951055E-2</v>
      </c>
      <c r="E303" s="156">
        <f ca="1">M303/-L303</f>
        <v>0.9127217906586863</v>
      </c>
      <c r="K303" s="82"/>
      <c r="L303" s="82">
        <f>(L302)</f>
        <v>-35999.840969999997</v>
      </c>
      <c r="M303" s="190">
        <f ca="1">IF($B303=M$297,$M$294,"0")</f>
        <v>32857.839313566335</v>
      </c>
      <c r="N303" s="190"/>
      <c r="O303" s="190"/>
      <c r="P303" s="190"/>
      <c r="Q303" s="190"/>
      <c r="R303" s="82"/>
    </row>
  </sheetData>
  <pageMargins left="0.7" right="0.7" top="0.75" bottom="0.75" header="0.3" footer="0.3"/>
  <pageSetup paperSize="9" orientation="portrait" r:id="rId1"/>
  <customProperties>
    <customPr name="UniqueName" r:id="rId2"/>
  </customProperties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B5A9E-0252-41DA-BE6A-96D1B028228E}">
  <dimension ref="A2:S79"/>
  <sheetViews>
    <sheetView showGridLines="0" zoomScale="145" zoomScaleNormal="145" workbookViewId="0">
      <selection activeCell="A4" sqref="A4"/>
    </sheetView>
  </sheetViews>
  <sheetFormatPr defaultColWidth="8.88671875" defaultRowHeight="14.4" x14ac:dyDescent="0.3"/>
  <cols>
    <col min="1" max="1" width="11.109375" bestFit="1" customWidth="1"/>
    <col min="2" max="2" width="23.109375" bestFit="1" customWidth="1"/>
    <col min="10" max="10" width="25.44140625" bestFit="1" customWidth="1"/>
    <col min="11" max="11" width="7.109375" bestFit="1" customWidth="1"/>
    <col min="12" max="12" width="7.44140625" bestFit="1" customWidth="1"/>
    <col min="13" max="19" width="10" bestFit="1" customWidth="1"/>
  </cols>
  <sheetData>
    <row r="2" spans="1:19" x14ac:dyDescent="0.3">
      <c r="B2" s="38" t="s">
        <v>296</v>
      </c>
    </row>
    <row r="4" spans="1:19" x14ac:dyDescent="0.3">
      <c r="A4" s="191" t="s">
        <v>297</v>
      </c>
      <c r="B4" s="192" t="s">
        <v>298</v>
      </c>
      <c r="M4" t="s">
        <v>299</v>
      </c>
    </row>
    <row r="5" spans="1:19" x14ac:dyDescent="0.3">
      <c r="A5" s="193">
        <v>45950</v>
      </c>
      <c r="B5" s="194">
        <v>200.59</v>
      </c>
    </row>
    <row r="6" spans="1:19" x14ac:dyDescent="0.3">
      <c r="A6" s="193">
        <v>45947</v>
      </c>
      <c r="B6" s="194">
        <v>200.3</v>
      </c>
    </row>
    <row r="7" spans="1:19" x14ac:dyDescent="0.3">
      <c r="A7" s="193">
        <v>45946</v>
      </c>
      <c r="B7" s="194">
        <v>200.35</v>
      </c>
      <c r="L7" t="s">
        <v>38</v>
      </c>
      <c r="M7" s="16" t="s">
        <v>300</v>
      </c>
      <c r="N7" s="16" t="s">
        <v>301</v>
      </c>
      <c r="O7" s="16" t="s">
        <v>302</v>
      </c>
      <c r="P7" s="16" t="s">
        <v>303</v>
      </c>
      <c r="Q7" s="16" t="s">
        <v>304</v>
      </c>
      <c r="R7" s="16" t="s">
        <v>305</v>
      </c>
      <c r="S7" s="16" t="s">
        <v>306</v>
      </c>
    </row>
    <row r="8" spans="1:19" x14ac:dyDescent="0.3">
      <c r="A8" s="193">
        <v>45945</v>
      </c>
      <c r="B8" s="194">
        <v>200.75</v>
      </c>
      <c r="L8" t="s">
        <v>307</v>
      </c>
      <c r="M8" s="218">
        <v>1547000</v>
      </c>
      <c r="N8" s="218">
        <v>1797000</v>
      </c>
      <c r="O8" s="218">
        <v>1934000</v>
      </c>
      <c r="P8" s="218">
        <v>1899000</v>
      </c>
      <c r="Q8" s="218">
        <v>1550000</v>
      </c>
      <c r="R8" s="218">
        <v>2315000</v>
      </c>
      <c r="S8" s="218">
        <v>2079000</v>
      </c>
    </row>
    <row r="9" spans="1:19" x14ac:dyDescent="0.3">
      <c r="A9" s="193">
        <v>45944</v>
      </c>
      <c r="B9" s="194">
        <v>200.2</v>
      </c>
      <c r="L9" t="s">
        <v>45</v>
      </c>
      <c r="M9" s="218">
        <v>-119000</v>
      </c>
      <c r="N9" s="218">
        <v>-140000</v>
      </c>
      <c r="O9" s="218">
        <v>-124000</v>
      </c>
      <c r="P9" s="218">
        <v>-188000</v>
      </c>
      <c r="Q9" s="218">
        <v>-207000</v>
      </c>
      <c r="R9" s="218">
        <v>-199000</v>
      </c>
      <c r="S9" s="218">
        <v>-221000</v>
      </c>
    </row>
    <row r="10" spans="1:19" x14ac:dyDescent="0.3">
      <c r="A10" s="193">
        <v>45943</v>
      </c>
      <c r="B10" s="194">
        <v>200.29</v>
      </c>
      <c r="L10" t="s">
        <v>308</v>
      </c>
      <c r="M10" s="217">
        <f>SUM(M8:M9)</f>
        <v>1428000</v>
      </c>
      <c r="N10" s="217">
        <f t="shared" ref="N10:S10" si="0">SUM(N8:N9)</f>
        <v>1657000</v>
      </c>
      <c r="O10" s="217">
        <f t="shared" si="0"/>
        <v>1810000</v>
      </c>
      <c r="P10" s="217">
        <f t="shared" si="0"/>
        <v>1711000</v>
      </c>
      <c r="Q10" s="217">
        <f t="shared" si="0"/>
        <v>1343000</v>
      </c>
      <c r="R10" s="217">
        <f t="shared" si="0"/>
        <v>2116000</v>
      </c>
      <c r="S10" s="217">
        <f t="shared" si="0"/>
        <v>1858000</v>
      </c>
    </row>
    <row r="11" spans="1:19" x14ac:dyDescent="0.3">
      <c r="A11" s="193">
        <v>45940</v>
      </c>
      <c r="B11" s="194">
        <v>200.02</v>
      </c>
    </row>
    <row r="12" spans="1:19" x14ac:dyDescent="0.3">
      <c r="A12" s="193">
        <v>45939</v>
      </c>
      <c r="B12" s="194">
        <v>200.05</v>
      </c>
    </row>
    <row r="13" spans="1:19" x14ac:dyDescent="0.3">
      <c r="A13" s="193">
        <v>45938</v>
      </c>
      <c r="B13" s="194">
        <v>200.01</v>
      </c>
    </row>
    <row r="14" spans="1:19" x14ac:dyDescent="0.3">
      <c r="A14" s="193">
        <v>45937</v>
      </c>
      <c r="B14" s="194">
        <v>200.02</v>
      </c>
    </row>
    <row r="15" spans="1:19" x14ac:dyDescent="0.3">
      <c r="A15" s="193">
        <v>45936</v>
      </c>
      <c r="B15" s="194">
        <v>200.46</v>
      </c>
    </row>
    <row r="16" spans="1:19" x14ac:dyDescent="0.3">
      <c r="A16" s="193">
        <v>45933</v>
      </c>
      <c r="B16" s="194">
        <v>200.69</v>
      </c>
    </row>
    <row r="17" spans="1:18" x14ac:dyDescent="0.3">
      <c r="A17" s="193">
        <v>45932</v>
      </c>
      <c r="B17" s="195">
        <v>201</v>
      </c>
    </row>
    <row r="18" spans="1:18" x14ac:dyDescent="0.3">
      <c r="A18" s="193">
        <v>45931</v>
      </c>
      <c r="B18" s="194">
        <v>201.63</v>
      </c>
    </row>
    <row r="19" spans="1:18" x14ac:dyDescent="0.3">
      <c r="A19" s="193">
        <v>45930</v>
      </c>
      <c r="B19" s="194">
        <v>201.7</v>
      </c>
    </row>
    <row r="20" spans="1:18" x14ac:dyDescent="0.3">
      <c r="A20" s="193">
        <v>45929</v>
      </c>
      <c r="B20" s="194">
        <v>202.05</v>
      </c>
    </row>
    <row r="21" spans="1:18" x14ac:dyDescent="0.3">
      <c r="A21" s="193">
        <v>45926</v>
      </c>
      <c r="B21" s="194">
        <v>193.35</v>
      </c>
    </row>
    <row r="22" spans="1:18" x14ac:dyDescent="0.3">
      <c r="A22" s="193">
        <v>45925</v>
      </c>
      <c r="B22" s="194">
        <v>168.32</v>
      </c>
    </row>
    <row r="23" spans="1:18" x14ac:dyDescent="0.3">
      <c r="A23" s="193">
        <v>45924</v>
      </c>
      <c r="B23" s="194">
        <v>167.35</v>
      </c>
    </row>
    <row r="24" spans="1:18" x14ac:dyDescent="0.3">
      <c r="A24" s="193">
        <v>45923</v>
      </c>
      <c r="B24" s="194">
        <v>174.07</v>
      </c>
    </row>
    <row r="25" spans="1:18" x14ac:dyDescent="0.3">
      <c r="A25" s="193">
        <v>45922</v>
      </c>
      <c r="B25" s="194">
        <v>173.42</v>
      </c>
    </row>
    <row r="26" spans="1:18" x14ac:dyDescent="0.3">
      <c r="A26" s="193">
        <v>45919</v>
      </c>
      <c r="B26" s="194">
        <v>173.09</v>
      </c>
    </row>
    <row r="27" spans="1:18" x14ac:dyDescent="0.3">
      <c r="A27" s="193">
        <v>45918</v>
      </c>
      <c r="B27" s="194">
        <v>173.17</v>
      </c>
    </row>
    <row r="28" spans="1:18" x14ac:dyDescent="0.3">
      <c r="A28" s="193">
        <v>45917</v>
      </c>
      <c r="B28" s="194">
        <v>173.59</v>
      </c>
    </row>
    <row r="29" spans="1:18" x14ac:dyDescent="0.3">
      <c r="A29" s="193">
        <v>45916</v>
      </c>
      <c r="B29" s="194">
        <v>172.08</v>
      </c>
    </row>
    <row r="30" spans="1:18" ht="15" thickBot="1" x14ac:dyDescent="0.35">
      <c r="A30" s="193">
        <v>45915</v>
      </c>
      <c r="B30" s="194">
        <v>171.76499999999999</v>
      </c>
      <c r="L30" s="73">
        <v>26</v>
      </c>
      <c r="M30" s="73">
        <f t="shared" ref="M30:Q30" si="1">L30+1</f>
        <v>27</v>
      </c>
      <c r="N30" s="73">
        <f t="shared" si="1"/>
        <v>28</v>
      </c>
      <c r="O30" s="73">
        <f t="shared" si="1"/>
        <v>29</v>
      </c>
      <c r="P30" s="73">
        <f t="shared" si="1"/>
        <v>30</v>
      </c>
      <c r="Q30" s="73">
        <f t="shared" si="1"/>
        <v>31</v>
      </c>
      <c r="R30" s="73">
        <f>Q30+1</f>
        <v>32</v>
      </c>
    </row>
    <row r="31" spans="1:18" x14ac:dyDescent="0.3">
      <c r="A31" s="193">
        <v>45912</v>
      </c>
      <c r="B31" s="194">
        <v>172.38</v>
      </c>
      <c r="K31" t="s">
        <v>40</v>
      </c>
      <c r="L31" s="10">
        <f>Model!L26*-1</f>
        <v>2698.4450999999999</v>
      </c>
      <c r="M31" s="10">
        <f>Model!M26*-1</f>
        <v>2902.1170230000002</v>
      </c>
      <c r="N31" s="10">
        <f>Model!N26*-1</f>
        <v>2927.5894044800002</v>
      </c>
      <c r="O31" s="10">
        <f>Model!O26*-1</f>
        <v>2917.9530072567336</v>
      </c>
      <c r="P31" s="10">
        <f>Model!P26*-1</f>
        <v>2933.7335019473344</v>
      </c>
      <c r="Q31" s="10">
        <f>Model!Q26*-1</f>
        <v>2846.6358909108858</v>
      </c>
      <c r="R31" s="10">
        <f>Model!R26*-1</f>
        <v>2834.3659086224766</v>
      </c>
    </row>
    <row r="32" spans="1:18" x14ac:dyDescent="0.3">
      <c r="A32" s="193">
        <v>45911</v>
      </c>
      <c r="B32" s="194">
        <v>169.89</v>
      </c>
      <c r="K32" t="s">
        <v>41</v>
      </c>
      <c r="L32" s="97">
        <f>'Inputs and Driver'!K29</f>
        <v>0.34499999999999997</v>
      </c>
      <c r="M32" s="97">
        <f>'Inputs and Driver'!L29</f>
        <v>0.34499999999999997</v>
      </c>
      <c r="N32" s="97">
        <f>'Inputs and Driver'!M29</f>
        <v>0.33999999999999997</v>
      </c>
      <c r="O32" s="97">
        <f>'Inputs and Driver'!N29</f>
        <v>0.32333333333333331</v>
      </c>
      <c r="P32" s="97">
        <f>'Inputs and Driver'!O29</f>
        <v>0.30666666666666664</v>
      </c>
      <c r="Q32" s="97">
        <f>'Inputs and Driver'!P29</f>
        <v>0.28999999999999998</v>
      </c>
      <c r="R32" s="97">
        <f>'Inputs and Driver'!Q29</f>
        <v>0.27499999999999997</v>
      </c>
    </row>
    <row r="33" spans="1:19" x14ac:dyDescent="0.3">
      <c r="A33" s="193">
        <v>45910</v>
      </c>
      <c r="B33" s="194">
        <v>170.27</v>
      </c>
    </row>
    <row r="34" spans="1:19" x14ac:dyDescent="0.3">
      <c r="A34" s="193">
        <v>45909</v>
      </c>
      <c r="B34" s="194">
        <v>166.04</v>
      </c>
    </row>
    <row r="35" spans="1:19" x14ac:dyDescent="0.3">
      <c r="A35" s="193">
        <v>45908</v>
      </c>
      <c r="B35" s="194">
        <v>168.06</v>
      </c>
    </row>
    <row r="36" spans="1:19" x14ac:dyDescent="0.3">
      <c r="A36" s="193">
        <v>45905</v>
      </c>
      <c r="B36" s="194">
        <v>168.62</v>
      </c>
    </row>
    <row r="37" spans="1:19" x14ac:dyDescent="0.3">
      <c r="A37" s="193">
        <v>45904</v>
      </c>
      <c r="B37" s="194">
        <v>168.03</v>
      </c>
    </row>
    <row r="38" spans="1:19" x14ac:dyDescent="0.3">
      <c r="A38" s="193">
        <v>45903</v>
      </c>
      <c r="B38" s="194">
        <v>167.86</v>
      </c>
      <c r="K38" s="38" t="s">
        <v>309</v>
      </c>
    </row>
    <row r="39" spans="1:19" x14ac:dyDescent="0.3">
      <c r="A39" s="193">
        <v>45902</v>
      </c>
      <c r="B39" s="194">
        <v>171.45</v>
      </c>
    </row>
    <row r="40" spans="1:19" x14ac:dyDescent="0.3">
      <c r="A40" s="193">
        <v>45898</v>
      </c>
      <c r="B40" s="194">
        <v>171.95</v>
      </c>
      <c r="J40" t="s">
        <v>38</v>
      </c>
      <c r="K40" s="16" t="s">
        <v>300</v>
      </c>
      <c r="L40" s="16" t="s">
        <v>301</v>
      </c>
      <c r="M40" s="16" t="s">
        <v>302</v>
      </c>
      <c r="N40" s="16" t="s">
        <v>303</v>
      </c>
      <c r="O40" s="16" t="s">
        <v>304</v>
      </c>
      <c r="P40" s="16" t="s">
        <v>305</v>
      </c>
      <c r="Q40" s="16" t="s">
        <v>306</v>
      </c>
    </row>
    <row r="41" spans="1:19" x14ac:dyDescent="0.3">
      <c r="A41" s="193">
        <v>45897</v>
      </c>
      <c r="B41" s="194">
        <v>170.99</v>
      </c>
      <c r="J41" s="14" t="s">
        <v>310</v>
      </c>
      <c r="K41" s="224">
        <v>0.86299999999999999</v>
      </c>
      <c r="L41" s="224">
        <v>0.71</v>
      </c>
      <c r="M41" s="224">
        <v>1.613</v>
      </c>
      <c r="N41" s="224">
        <v>1.2869999999999999</v>
      </c>
      <c r="O41" s="224">
        <v>1.0740000000000001</v>
      </c>
      <c r="P41" s="224">
        <v>1.0489999999999999</v>
      </c>
      <c r="Q41" s="224">
        <v>1.0609999999999999</v>
      </c>
    </row>
    <row r="42" spans="1:19" x14ac:dyDescent="0.3">
      <c r="A42" s="193">
        <v>45896</v>
      </c>
      <c r="B42" s="194">
        <v>172.6</v>
      </c>
      <c r="J42" s="14" t="s">
        <v>311</v>
      </c>
      <c r="K42" s="224">
        <v>25.6</v>
      </c>
      <c r="L42" s="224">
        <v>39.067999999999998</v>
      </c>
      <c r="M42" s="224">
        <v>29.667000000000002</v>
      </c>
      <c r="N42" s="224">
        <v>29.879000000000001</v>
      </c>
      <c r="O42" s="224">
        <v>35.69</v>
      </c>
      <c r="P42" s="224">
        <v>36.085999999999999</v>
      </c>
      <c r="Q42" s="224">
        <v>36.052</v>
      </c>
    </row>
    <row r="43" spans="1:19" x14ac:dyDescent="0.3">
      <c r="A43" s="193">
        <v>45895</v>
      </c>
      <c r="B43" s="194">
        <v>172.23</v>
      </c>
    </row>
    <row r="44" spans="1:19" x14ac:dyDescent="0.3">
      <c r="A44" s="193">
        <v>45894</v>
      </c>
      <c r="B44" s="194">
        <v>172.76</v>
      </c>
    </row>
    <row r="45" spans="1:19" x14ac:dyDescent="0.3">
      <c r="A45" s="193">
        <v>45891</v>
      </c>
      <c r="B45" s="194">
        <v>171.4</v>
      </c>
      <c r="S45">
        <f>4385000/7463000</f>
        <v>0.58756532225646518</v>
      </c>
    </row>
    <row r="46" spans="1:19" x14ac:dyDescent="0.3">
      <c r="A46" s="193">
        <v>45890</v>
      </c>
      <c r="B46" s="194">
        <v>171.55</v>
      </c>
    </row>
    <row r="47" spans="1:19" x14ac:dyDescent="0.3">
      <c r="A47" s="193">
        <v>45889</v>
      </c>
      <c r="B47" s="194">
        <v>171.33</v>
      </c>
    </row>
    <row r="48" spans="1:19" x14ac:dyDescent="0.3">
      <c r="A48" s="193">
        <v>45888</v>
      </c>
      <c r="B48" s="194">
        <v>170.68</v>
      </c>
    </row>
    <row r="49" spans="1:2" x14ac:dyDescent="0.3">
      <c r="A49" s="193">
        <v>45887</v>
      </c>
      <c r="B49" s="194">
        <v>169.16</v>
      </c>
    </row>
    <row r="50" spans="1:2" x14ac:dyDescent="0.3">
      <c r="A50" s="193">
        <v>45884</v>
      </c>
      <c r="B50" s="194">
        <v>174.67</v>
      </c>
    </row>
    <row r="51" spans="1:2" x14ac:dyDescent="0.3">
      <c r="A51" s="193">
        <v>45883</v>
      </c>
      <c r="B51" s="194">
        <v>179.01</v>
      </c>
    </row>
    <row r="52" spans="1:2" x14ac:dyDescent="0.3">
      <c r="A52" s="193">
        <v>45882</v>
      </c>
      <c r="B52" s="194">
        <v>178.4</v>
      </c>
    </row>
    <row r="53" spans="1:2" x14ac:dyDescent="0.3">
      <c r="A53" s="193">
        <v>45881</v>
      </c>
      <c r="B53" s="194">
        <v>177.91</v>
      </c>
    </row>
    <row r="54" spans="1:2" x14ac:dyDescent="0.3">
      <c r="A54" s="193">
        <v>45880</v>
      </c>
      <c r="B54" s="194">
        <v>176.11</v>
      </c>
    </row>
    <row r="55" spans="1:2" x14ac:dyDescent="0.3">
      <c r="A55" s="193">
        <v>45877</v>
      </c>
      <c r="B55" s="194">
        <v>167.64</v>
      </c>
    </row>
    <row r="56" spans="1:2" x14ac:dyDescent="0.3">
      <c r="A56" s="193">
        <v>45876</v>
      </c>
      <c r="B56" s="194">
        <v>162.75</v>
      </c>
    </row>
    <row r="57" spans="1:2" x14ac:dyDescent="0.3">
      <c r="A57" s="193">
        <v>45875</v>
      </c>
      <c r="B57" s="195">
        <v>163</v>
      </c>
    </row>
    <row r="58" spans="1:2" x14ac:dyDescent="0.3">
      <c r="A58" s="193">
        <v>45874</v>
      </c>
      <c r="B58" s="194">
        <v>160.99</v>
      </c>
    </row>
    <row r="59" spans="1:2" x14ac:dyDescent="0.3">
      <c r="A59" s="193">
        <v>45873</v>
      </c>
      <c r="B59" s="194">
        <v>159.77000000000001</v>
      </c>
    </row>
    <row r="60" spans="1:2" x14ac:dyDescent="0.3">
      <c r="A60" s="193">
        <v>45870</v>
      </c>
      <c r="B60" s="194">
        <v>157.08000000000001</v>
      </c>
    </row>
    <row r="61" spans="1:2" x14ac:dyDescent="0.3">
      <c r="A61" s="193">
        <v>45869</v>
      </c>
      <c r="B61" s="194">
        <v>152.49</v>
      </c>
    </row>
    <row r="62" spans="1:2" x14ac:dyDescent="0.3">
      <c r="A62" s="193">
        <v>45868</v>
      </c>
      <c r="B62" s="194">
        <v>156.26</v>
      </c>
    </row>
    <row r="63" spans="1:2" x14ac:dyDescent="0.3">
      <c r="A63" s="193">
        <v>45867</v>
      </c>
      <c r="B63" s="194">
        <v>147.79</v>
      </c>
    </row>
    <row r="64" spans="1:2" x14ac:dyDescent="0.3">
      <c r="A64" s="193">
        <v>45866</v>
      </c>
      <c r="B64" s="194">
        <v>151.99</v>
      </c>
    </row>
    <row r="65" spans="1:2" x14ac:dyDescent="0.3">
      <c r="A65" s="193">
        <v>45863</v>
      </c>
      <c r="B65" s="194">
        <v>151.68</v>
      </c>
    </row>
    <row r="66" spans="1:2" x14ac:dyDescent="0.3">
      <c r="A66" s="193">
        <v>45862</v>
      </c>
      <c r="B66" s="194">
        <v>152.63999999999999</v>
      </c>
    </row>
    <row r="67" spans="1:2" x14ac:dyDescent="0.3">
      <c r="A67" s="193">
        <v>45861</v>
      </c>
      <c r="B67" s="194">
        <v>153.72999999999999</v>
      </c>
    </row>
    <row r="68" spans="1:2" x14ac:dyDescent="0.3">
      <c r="A68" s="193">
        <v>45860</v>
      </c>
      <c r="B68" s="194">
        <v>157.02000000000001</v>
      </c>
    </row>
    <row r="69" spans="1:2" x14ac:dyDescent="0.3">
      <c r="A69" s="193">
        <v>45859</v>
      </c>
      <c r="B69" s="194">
        <v>153.38999999999999</v>
      </c>
    </row>
    <row r="70" spans="1:2" x14ac:dyDescent="0.3">
      <c r="A70" s="193">
        <v>45856</v>
      </c>
      <c r="B70" s="194">
        <v>150.11000000000001</v>
      </c>
    </row>
    <row r="71" spans="1:2" x14ac:dyDescent="0.3">
      <c r="A71" s="193">
        <v>45855</v>
      </c>
      <c r="B71" s="194">
        <v>149.83000000000001</v>
      </c>
    </row>
    <row r="72" spans="1:2" x14ac:dyDescent="0.3">
      <c r="A72" s="193">
        <v>45854</v>
      </c>
      <c r="B72" s="194">
        <v>149.35</v>
      </c>
    </row>
    <row r="73" spans="1:2" x14ac:dyDescent="0.3">
      <c r="A73" s="193">
        <v>45853</v>
      </c>
      <c r="B73" s="194">
        <v>148.74</v>
      </c>
    </row>
    <row r="74" spans="1:2" x14ac:dyDescent="0.3">
      <c r="A74" s="193">
        <v>45852</v>
      </c>
      <c r="B74" s="194">
        <v>148.83000000000001</v>
      </c>
    </row>
    <row r="75" spans="1:2" x14ac:dyDescent="0.3">
      <c r="A75" s="193">
        <v>45849</v>
      </c>
      <c r="B75" s="194">
        <v>148.69</v>
      </c>
    </row>
    <row r="76" spans="1:2" x14ac:dyDescent="0.3">
      <c r="A76" s="193">
        <v>45848</v>
      </c>
      <c r="B76" s="194">
        <v>151.30000000000001</v>
      </c>
    </row>
    <row r="77" spans="1:2" x14ac:dyDescent="0.3">
      <c r="A77" s="193">
        <v>45847</v>
      </c>
      <c r="B77" s="194">
        <v>152.68</v>
      </c>
    </row>
    <row r="78" spans="1:2" x14ac:dyDescent="0.3">
      <c r="A78" s="193">
        <v>45846</v>
      </c>
      <c r="B78" s="194">
        <v>152.63999999999999</v>
      </c>
    </row>
    <row r="79" spans="1:2" x14ac:dyDescent="0.3">
      <c r="A79" s="193">
        <v>45845</v>
      </c>
      <c r="B79" s="194">
        <v>153.53</v>
      </c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DB650-FD6C-425E-B72E-CF4E34C4EA8B}">
  <dimension ref="A1:P68"/>
  <sheetViews>
    <sheetView zoomScaleNormal="100" workbookViewId="0">
      <selection activeCell="D20" sqref="D20"/>
    </sheetView>
  </sheetViews>
  <sheetFormatPr defaultColWidth="8.88671875" defaultRowHeight="14.4" x14ac:dyDescent="0.3"/>
  <cols>
    <col min="1" max="1" width="53.44140625" bestFit="1" customWidth="1"/>
    <col min="2" max="6" width="10.44140625" bestFit="1" customWidth="1"/>
  </cols>
  <sheetData>
    <row r="1" spans="1:12" ht="18" x14ac:dyDescent="0.35">
      <c r="A1" s="311" t="s">
        <v>312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</row>
    <row r="2" spans="1:12" x14ac:dyDescent="0.3">
      <c r="A2" s="14" t="s">
        <v>313</v>
      </c>
    </row>
    <row r="4" spans="1:12" x14ac:dyDescent="0.3">
      <c r="A4" s="14" t="s">
        <v>314</v>
      </c>
      <c r="B4" s="13"/>
    </row>
    <row r="5" spans="1:12" x14ac:dyDescent="0.3">
      <c r="A5" s="14" t="s">
        <v>315</v>
      </c>
      <c r="B5" s="13"/>
    </row>
    <row r="6" spans="1:12" x14ac:dyDescent="0.3">
      <c r="A6" s="14" t="s">
        <v>316</v>
      </c>
      <c r="B6" s="13"/>
    </row>
    <row r="7" spans="1:12" x14ac:dyDescent="0.3">
      <c r="A7" s="14" t="s">
        <v>317</v>
      </c>
      <c r="B7" s="13"/>
    </row>
    <row r="8" spans="1:12" x14ac:dyDescent="0.3">
      <c r="A8" s="14" t="s">
        <v>318</v>
      </c>
      <c r="B8" s="13"/>
    </row>
    <row r="9" spans="1:12" x14ac:dyDescent="0.3">
      <c r="A9" s="14"/>
    </row>
    <row r="10" spans="1:12" x14ac:dyDescent="0.3">
      <c r="A10" s="310"/>
      <c r="B10" s="310"/>
      <c r="C10" s="310"/>
      <c r="D10" s="310"/>
      <c r="E10" s="310"/>
      <c r="F10" s="310"/>
    </row>
    <row r="11" spans="1:12" x14ac:dyDescent="0.3">
      <c r="A11" s="15" t="s">
        <v>319</v>
      </c>
      <c r="D11" s="16" t="s">
        <v>320</v>
      </c>
      <c r="E11" s="16" t="s">
        <v>321</v>
      </c>
      <c r="F11" s="16" t="s">
        <v>322</v>
      </c>
    </row>
    <row r="12" spans="1:12" x14ac:dyDescent="0.3">
      <c r="A12" s="14" t="s">
        <v>323</v>
      </c>
      <c r="D12" s="17">
        <v>45016</v>
      </c>
      <c r="E12" s="17">
        <v>45382</v>
      </c>
      <c r="F12" s="17">
        <v>45747</v>
      </c>
    </row>
    <row r="13" spans="1:12" x14ac:dyDescent="0.3">
      <c r="A13" s="14" t="s">
        <v>324</v>
      </c>
      <c r="D13" s="18" t="s">
        <v>325</v>
      </c>
      <c r="E13" s="18" t="s">
        <v>325</v>
      </c>
      <c r="F13" s="18" t="s">
        <v>325</v>
      </c>
    </row>
    <row r="14" spans="1:12" x14ac:dyDescent="0.3">
      <c r="A14" s="14" t="s">
        <v>326</v>
      </c>
      <c r="D14" s="18" t="s">
        <v>327</v>
      </c>
      <c r="E14" s="18" t="s">
        <v>327</v>
      </c>
      <c r="F14" s="18" t="s">
        <v>327</v>
      </c>
    </row>
    <row r="15" spans="1:12" x14ac:dyDescent="0.3">
      <c r="A15" s="19" t="s">
        <v>231</v>
      </c>
      <c r="D15" s="14"/>
      <c r="E15" s="14"/>
      <c r="F15" s="14"/>
    </row>
    <row r="16" spans="1:12" x14ac:dyDescent="0.3">
      <c r="A16" s="14" t="s">
        <v>328</v>
      </c>
      <c r="D16" s="20">
        <v>2424</v>
      </c>
      <c r="E16" s="20">
        <v>2900</v>
      </c>
      <c r="F16" s="20">
        <v>2136</v>
      </c>
    </row>
    <row r="17" spans="1:6" x14ac:dyDescent="0.3">
      <c r="A17" s="14" t="s">
        <v>329</v>
      </c>
      <c r="D17" s="20">
        <v>343</v>
      </c>
      <c r="E17" s="20">
        <v>362</v>
      </c>
      <c r="F17" s="20">
        <v>112</v>
      </c>
    </row>
    <row r="18" spans="1:6" x14ac:dyDescent="0.3">
      <c r="A18" s="14" t="s">
        <v>330</v>
      </c>
      <c r="D18" s="20">
        <v>684</v>
      </c>
      <c r="E18" s="20">
        <v>565</v>
      </c>
      <c r="F18" s="20">
        <v>679</v>
      </c>
    </row>
    <row r="19" spans="1:6" x14ac:dyDescent="0.3">
      <c r="A19" s="14" t="s">
        <v>228</v>
      </c>
      <c r="D19" s="20">
        <v>105</v>
      </c>
      <c r="E19" s="20">
        <v>98</v>
      </c>
      <c r="F19" s="20">
        <v>55</v>
      </c>
    </row>
    <row r="20" spans="1:6" x14ac:dyDescent="0.3">
      <c r="A20" s="14" t="s">
        <v>331</v>
      </c>
      <c r="D20" s="20">
        <v>413</v>
      </c>
      <c r="E20" s="20">
        <v>322</v>
      </c>
      <c r="F20" s="20">
        <v>294</v>
      </c>
    </row>
    <row r="21" spans="1:6" x14ac:dyDescent="0.3">
      <c r="A21" s="14" t="s">
        <v>332</v>
      </c>
      <c r="D21" s="20">
        <v>3969</v>
      </c>
      <c r="E21" s="20">
        <v>4247</v>
      </c>
      <c r="F21" s="20">
        <v>3276</v>
      </c>
    </row>
    <row r="22" spans="1:6" x14ac:dyDescent="0.3">
      <c r="A22" s="19" t="s">
        <v>333</v>
      </c>
      <c r="D22" s="14"/>
      <c r="E22" s="14"/>
      <c r="F22" s="14"/>
    </row>
    <row r="23" spans="1:6" x14ac:dyDescent="0.3">
      <c r="A23" s="14" t="s">
        <v>334</v>
      </c>
      <c r="D23" s="20">
        <v>549</v>
      </c>
      <c r="E23" s="20">
        <v>578</v>
      </c>
      <c r="F23" s="20">
        <v>586</v>
      </c>
    </row>
    <row r="24" spans="1:6" x14ac:dyDescent="0.3">
      <c r="A24" s="14" t="s">
        <v>335</v>
      </c>
      <c r="D24" s="20">
        <v>2462</v>
      </c>
      <c r="E24" s="20">
        <v>2380</v>
      </c>
      <c r="F24" s="20">
        <v>2420</v>
      </c>
    </row>
    <row r="25" spans="1:6" x14ac:dyDescent="0.3">
      <c r="A25" s="14" t="s">
        <v>336</v>
      </c>
      <c r="D25" s="20">
        <v>5380</v>
      </c>
      <c r="E25" s="20">
        <v>5379</v>
      </c>
      <c r="F25" s="20">
        <v>5376</v>
      </c>
    </row>
    <row r="26" spans="1:6" x14ac:dyDescent="0.3">
      <c r="A26" s="14" t="s">
        <v>337</v>
      </c>
      <c r="D26" s="20">
        <v>618</v>
      </c>
      <c r="E26" s="20">
        <v>400</v>
      </c>
      <c r="F26" s="20">
        <v>293</v>
      </c>
    </row>
    <row r="27" spans="1:6" x14ac:dyDescent="0.3">
      <c r="A27" s="14" t="s">
        <v>338</v>
      </c>
      <c r="D27" s="20">
        <v>481</v>
      </c>
      <c r="E27" s="20">
        <v>436</v>
      </c>
      <c r="F27" s="20">
        <v>417</v>
      </c>
    </row>
    <row r="28" spans="1:6" x14ac:dyDescent="0.3">
      <c r="A28" s="19" t="s">
        <v>339</v>
      </c>
      <c r="D28" s="21">
        <v>13459</v>
      </c>
      <c r="E28" s="21">
        <v>13420</v>
      </c>
      <c r="F28" s="21">
        <v>12368</v>
      </c>
    </row>
    <row r="29" spans="1:6" x14ac:dyDescent="0.3">
      <c r="A29" s="19" t="s">
        <v>232</v>
      </c>
      <c r="D29" s="14"/>
      <c r="E29" s="14"/>
      <c r="F29" s="14"/>
    </row>
    <row r="30" spans="1:6" x14ac:dyDescent="0.3">
      <c r="A30" s="14" t="s">
        <v>340</v>
      </c>
      <c r="D30" s="20">
        <v>99</v>
      </c>
      <c r="E30" s="18">
        <v>110</v>
      </c>
      <c r="F30" s="18">
        <v>105</v>
      </c>
    </row>
    <row r="31" spans="1:6" x14ac:dyDescent="0.3">
      <c r="A31" s="14" t="s">
        <v>229</v>
      </c>
      <c r="D31" s="20">
        <v>1026</v>
      </c>
      <c r="E31" s="18">
        <v>951</v>
      </c>
      <c r="F31" s="18">
        <v>1009</v>
      </c>
    </row>
    <row r="32" spans="1:6" x14ac:dyDescent="0.3">
      <c r="A32" s="14" t="s">
        <v>341</v>
      </c>
      <c r="D32" s="18" t="s">
        <v>342</v>
      </c>
      <c r="E32" s="18" t="s">
        <v>342</v>
      </c>
      <c r="F32" s="20">
        <v>400</v>
      </c>
    </row>
    <row r="33" spans="1:6" x14ac:dyDescent="0.3">
      <c r="A33" s="14" t="s">
        <v>343</v>
      </c>
      <c r="D33" s="20">
        <v>1901</v>
      </c>
      <c r="E33" s="20">
        <v>1814</v>
      </c>
      <c r="F33" s="20">
        <v>1700</v>
      </c>
    </row>
    <row r="34" spans="1:6" x14ac:dyDescent="0.3">
      <c r="A34" s="14" t="s">
        <v>344</v>
      </c>
      <c r="D34" s="20">
        <v>3285</v>
      </c>
      <c r="E34" s="20">
        <v>3090</v>
      </c>
      <c r="F34" s="20">
        <v>3459</v>
      </c>
    </row>
    <row r="35" spans="1:6" x14ac:dyDescent="0.3">
      <c r="A35" s="14" t="s">
        <v>230</v>
      </c>
      <c r="D35" s="20">
        <v>90</v>
      </c>
      <c r="E35" s="20">
        <v>90</v>
      </c>
      <c r="F35" s="20">
        <v>84</v>
      </c>
    </row>
    <row r="36" spans="1:6" x14ac:dyDescent="0.3">
      <c r="A36" s="14"/>
      <c r="D36" s="20"/>
      <c r="E36" s="20"/>
      <c r="F36" s="20"/>
    </row>
    <row r="37" spans="1:6" x14ac:dyDescent="0.3">
      <c r="A37" s="19" t="s">
        <v>345</v>
      </c>
      <c r="D37" s="14"/>
      <c r="E37" s="14"/>
      <c r="F37" s="14"/>
    </row>
    <row r="38" spans="1:6" x14ac:dyDescent="0.3">
      <c r="A38" s="14" t="s">
        <v>346</v>
      </c>
      <c r="D38" s="20">
        <v>1880</v>
      </c>
      <c r="E38" s="20">
        <v>1882</v>
      </c>
      <c r="F38" s="20">
        <v>1484</v>
      </c>
    </row>
    <row r="39" spans="1:6" x14ac:dyDescent="0.3">
      <c r="A39" s="14" t="s">
        <v>335</v>
      </c>
      <c r="D39" s="20">
        <v>1</v>
      </c>
      <c r="E39" s="18" t="s">
        <v>342</v>
      </c>
      <c r="F39" s="18" t="s">
        <v>342</v>
      </c>
    </row>
    <row r="40" spans="1:6" x14ac:dyDescent="0.3">
      <c r="A40" s="14" t="s">
        <v>347</v>
      </c>
      <c r="D40" s="20">
        <v>393</v>
      </c>
      <c r="E40" s="20">
        <v>438</v>
      </c>
      <c r="F40" s="20">
        <v>445</v>
      </c>
    </row>
    <row r="41" spans="1:6" x14ac:dyDescent="0.3">
      <c r="A41" s="14" t="s">
        <v>348</v>
      </c>
      <c r="D41" s="20">
        <v>607</v>
      </c>
      <c r="E41" s="20">
        <v>497</v>
      </c>
      <c r="F41" s="20">
        <v>594</v>
      </c>
    </row>
    <row r="42" spans="1:6" x14ac:dyDescent="0.3">
      <c r="A42" s="19" t="s">
        <v>349</v>
      </c>
      <c r="D42" s="14"/>
      <c r="E42" s="14"/>
      <c r="F42" s="14"/>
    </row>
    <row r="43" spans="1:6" x14ac:dyDescent="0.3">
      <c r="A43" s="14" t="s">
        <v>350</v>
      </c>
      <c r="D43" s="20">
        <v>3</v>
      </c>
      <c r="E43" s="20">
        <v>3</v>
      </c>
      <c r="F43" s="20">
        <v>3</v>
      </c>
    </row>
    <row r="44" spans="1:6" x14ac:dyDescent="0.3">
      <c r="A44" s="14" t="s">
        <v>351</v>
      </c>
      <c r="D44" s="20">
        <v>7357</v>
      </c>
      <c r="E44" s="20">
        <v>7582</v>
      </c>
      <c r="F44" s="20">
        <v>6470</v>
      </c>
    </row>
    <row r="45" spans="1:6" x14ac:dyDescent="0.3">
      <c r="A45" s="14" t="s">
        <v>352</v>
      </c>
      <c r="D45" s="20">
        <v>-67</v>
      </c>
      <c r="E45" s="20">
        <v>-72</v>
      </c>
      <c r="F45" s="20">
        <v>-87</v>
      </c>
    </row>
    <row r="46" spans="1:6" x14ac:dyDescent="0.3">
      <c r="A46" s="14" t="s">
        <v>353</v>
      </c>
      <c r="D46" s="20">
        <v>7293</v>
      </c>
      <c r="E46" s="20">
        <v>7513</v>
      </c>
      <c r="F46" s="20">
        <v>6386</v>
      </c>
    </row>
    <row r="47" spans="1:6" x14ac:dyDescent="0.3">
      <c r="A47" s="14" t="s">
        <v>354</v>
      </c>
      <c r="D47" s="20">
        <v>13459</v>
      </c>
      <c r="E47" s="20">
        <v>13420</v>
      </c>
      <c r="F47" s="20">
        <v>12368</v>
      </c>
    </row>
    <row r="68" spans="16:16" x14ac:dyDescent="0.3">
      <c r="P68" t="s">
        <v>355</v>
      </c>
    </row>
  </sheetData>
  <mergeCells count="2">
    <mergeCell ref="A10:F10"/>
    <mergeCell ref="A1:L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8B65A-3FB5-424B-8153-719EDAF475F0}">
  <dimension ref="A1:L48"/>
  <sheetViews>
    <sheetView topLeftCell="A23" workbookViewId="0">
      <selection activeCell="D22" sqref="D22"/>
    </sheetView>
  </sheetViews>
  <sheetFormatPr defaultColWidth="8.88671875" defaultRowHeight="14.4" x14ac:dyDescent="0.3"/>
  <cols>
    <col min="1" max="1" width="63.6640625" bestFit="1" customWidth="1"/>
    <col min="2" max="6" width="10.44140625" bestFit="1" customWidth="1"/>
  </cols>
  <sheetData>
    <row r="1" spans="1:12" ht="18" x14ac:dyDescent="0.35">
      <c r="A1" s="311" t="s">
        <v>356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</row>
    <row r="2" spans="1:12" x14ac:dyDescent="0.3">
      <c r="A2" s="14" t="s">
        <v>313</v>
      </c>
    </row>
    <row r="4" spans="1:12" x14ac:dyDescent="0.3">
      <c r="A4" s="14" t="s">
        <v>314</v>
      </c>
      <c r="B4" s="13"/>
    </row>
    <row r="5" spans="1:12" x14ac:dyDescent="0.3">
      <c r="A5" s="14" t="s">
        <v>315</v>
      </c>
      <c r="B5" s="13"/>
    </row>
    <row r="6" spans="1:12" x14ac:dyDescent="0.3">
      <c r="A6" s="14" t="s">
        <v>316</v>
      </c>
      <c r="B6" s="13"/>
    </row>
    <row r="7" spans="1:12" x14ac:dyDescent="0.3">
      <c r="A7" s="14" t="s">
        <v>317</v>
      </c>
      <c r="B7" s="13"/>
    </row>
    <row r="8" spans="1:12" x14ac:dyDescent="0.3">
      <c r="A8" s="14" t="s">
        <v>318</v>
      </c>
      <c r="B8" s="13"/>
    </row>
    <row r="9" spans="1:12" x14ac:dyDescent="0.3">
      <c r="A9" s="14"/>
    </row>
    <row r="10" spans="1:12" x14ac:dyDescent="0.3">
      <c r="A10" s="310"/>
      <c r="B10" s="310"/>
      <c r="C10" s="310"/>
      <c r="D10" s="310"/>
      <c r="E10" s="310"/>
      <c r="F10" s="310"/>
    </row>
    <row r="11" spans="1:12" x14ac:dyDescent="0.3">
      <c r="A11" s="15" t="s">
        <v>319</v>
      </c>
      <c r="B11" s="16" t="s">
        <v>357</v>
      </c>
      <c r="C11" s="16" t="s">
        <v>358</v>
      </c>
      <c r="D11" s="16" t="s">
        <v>320</v>
      </c>
      <c r="E11" s="16" t="s">
        <v>321</v>
      </c>
      <c r="F11" s="16" t="s">
        <v>322</v>
      </c>
    </row>
    <row r="12" spans="1:12" x14ac:dyDescent="0.3">
      <c r="A12" s="14" t="s">
        <v>323</v>
      </c>
      <c r="B12" s="17">
        <v>44286</v>
      </c>
      <c r="C12" s="17">
        <v>44651</v>
      </c>
      <c r="D12" s="17">
        <v>45016</v>
      </c>
      <c r="E12" s="17">
        <v>45382</v>
      </c>
      <c r="F12" s="17">
        <v>45747</v>
      </c>
    </row>
    <row r="13" spans="1:12" x14ac:dyDescent="0.3">
      <c r="A13" s="14" t="s">
        <v>324</v>
      </c>
      <c r="B13" s="18" t="s">
        <v>325</v>
      </c>
      <c r="C13" s="18" t="s">
        <v>325</v>
      </c>
      <c r="D13" s="18" t="s">
        <v>325</v>
      </c>
      <c r="E13" s="18" t="s">
        <v>325</v>
      </c>
      <c r="F13" s="18" t="s">
        <v>325</v>
      </c>
    </row>
    <row r="14" spans="1:12" x14ac:dyDescent="0.3">
      <c r="A14" s="14" t="s">
        <v>326</v>
      </c>
      <c r="B14" s="18" t="s">
        <v>327</v>
      </c>
      <c r="C14" s="18" t="s">
        <v>327</v>
      </c>
      <c r="D14" s="18" t="s">
        <v>327</v>
      </c>
      <c r="E14" s="18" t="s">
        <v>327</v>
      </c>
      <c r="F14" s="18" t="s">
        <v>327</v>
      </c>
    </row>
    <row r="15" spans="1:12" x14ac:dyDescent="0.3">
      <c r="A15" s="19" t="s">
        <v>359</v>
      </c>
      <c r="B15" s="14"/>
      <c r="C15" s="14"/>
      <c r="D15" s="14"/>
      <c r="E15" s="14"/>
      <c r="F15" s="14"/>
    </row>
    <row r="16" spans="1:12" x14ac:dyDescent="0.3">
      <c r="A16" s="14" t="s">
        <v>189</v>
      </c>
      <c r="B16" s="20">
        <v>837</v>
      </c>
      <c r="C16" s="20">
        <v>789</v>
      </c>
      <c r="D16" s="20">
        <v>802</v>
      </c>
      <c r="E16" s="20">
        <v>1273</v>
      </c>
      <c r="F16" s="20">
        <v>1121</v>
      </c>
    </row>
    <row r="17" spans="1:6" x14ac:dyDescent="0.3">
      <c r="A17" s="14" t="s">
        <v>360</v>
      </c>
      <c r="B17" s="20">
        <v>181</v>
      </c>
      <c r="C17" s="20">
        <v>486</v>
      </c>
      <c r="D17" s="20">
        <v>536</v>
      </c>
      <c r="E17" s="20">
        <v>404</v>
      </c>
      <c r="F17" s="20">
        <v>356</v>
      </c>
    </row>
    <row r="18" spans="1:6" x14ac:dyDescent="0.3">
      <c r="A18" s="14" t="s">
        <v>361</v>
      </c>
      <c r="B18" s="20">
        <v>435</v>
      </c>
      <c r="C18" s="20">
        <v>528</v>
      </c>
      <c r="D18" s="20">
        <v>548</v>
      </c>
      <c r="E18" s="20">
        <v>584</v>
      </c>
      <c r="F18" s="20">
        <v>642</v>
      </c>
    </row>
    <row r="19" spans="1:6" x14ac:dyDescent="0.3">
      <c r="A19" s="14" t="s">
        <v>362</v>
      </c>
      <c r="B19" s="20">
        <v>-41</v>
      </c>
      <c r="C19" s="20">
        <v>-77</v>
      </c>
      <c r="D19" s="20">
        <v>-34</v>
      </c>
      <c r="E19" s="20">
        <v>119</v>
      </c>
      <c r="F19" s="20">
        <v>-115</v>
      </c>
    </row>
    <row r="20" spans="1:6" x14ac:dyDescent="0.3">
      <c r="A20" s="14" t="s">
        <v>340</v>
      </c>
      <c r="B20" s="20">
        <v>18</v>
      </c>
      <c r="C20" s="20">
        <v>-7</v>
      </c>
      <c r="D20" s="18">
        <v>0</v>
      </c>
      <c r="E20" s="18">
        <v>0</v>
      </c>
      <c r="F20" s="18">
        <v>0</v>
      </c>
    </row>
    <row r="21" spans="1:6" x14ac:dyDescent="0.3">
      <c r="A21" s="14" t="s">
        <v>363</v>
      </c>
      <c r="B21" s="18" t="s">
        <v>342</v>
      </c>
      <c r="C21" s="18" t="s">
        <v>342</v>
      </c>
      <c r="D21" s="20">
        <v>144</v>
      </c>
      <c r="E21" s="20">
        <v>-208</v>
      </c>
      <c r="F21" s="20">
        <v>190</v>
      </c>
    </row>
    <row r="22" spans="1:6" x14ac:dyDescent="0.3">
      <c r="A22" s="14" t="s">
        <v>364</v>
      </c>
      <c r="B22" s="20">
        <v>581</v>
      </c>
      <c r="C22" s="20">
        <v>497</v>
      </c>
      <c r="D22" s="20">
        <v>-122</v>
      </c>
      <c r="E22" s="20">
        <v>-87</v>
      </c>
      <c r="F22" s="20">
        <v>-114</v>
      </c>
    </row>
    <row r="23" spans="1:6" x14ac:dyDescent="0.3">
      <c r="A23" s="14" t="s">
        <v>365</v>
      </c>
      <c r="B23" s="20">
        <v>-143</v>
      </c>
      <c r="C23" s="20">
        <v>-329</v>
      </c>
      <c r="D23" s="20">
        <v>-221</v>
      </c>
      <c r="E23" s="20">
        <v>82</v>
      </c>
      <c r="F23" s="20">
        <v>-41</v>
      </c>
    </row>
    <row r="24" spans="1:6" x14ac:dyDescent="0.3">
      <c r="A24" s="14" t="s">
        <v>338</v>
      </c>
      <c r="B24" s="20">
        <v>-70</v>
      </c>
      <c r="C24" s="20">
        <v>-157</v>
      </c>
      <c r="D24" s="20">
        <v>-103</v>
      </c>
      <c r="E24" s="20">
        <v>148</v>
      </c>
      <c r="F24" s="20">
        <v>40</v>
      </c>
    </row>
    <row r="25" spans="1:6" x14ac:dyDescent="0.3">
      <c r="A25" s="14" t="s">
        <v>366</v>
      </c>
      <c r="B25" s="20">
        <v>136</v>
      </c>
      <c r="C25" s="20">
        <v>169</v>
      </c>
      <c r="D25" s="18" t="s">
        <v>342</v>
      </c>
      <c r="E25" s="18" t="s">
        <v>342</v>
      </c>
      <c r="F25" s="18" t="s">
        <v>342</v>
      </c>
    </row>
    <row r="26" spans="1:6" x14ac:dyDescent="0.3">
      <c r="A26" s="14" t="s">
        <v>367</v>
      </c>
      <c r="B26" s="20">
        <v>1934</v>
      </c>
      <c r="C26" s="20">
        <v>1899</v>
      </c>
      <c r="D26" s="20">
        <v>1550</v>
      </c>
      <c r="E26" s="20">
        <v>2315</v>
      </c>
      <c r="F26" s="20">
        <v>2079</v>
      </c>
    </row>
    <row r="27" spans="1:6" x14ac:dyDescent="0.3">
      <c r="A27" s="19" t="s">
        <v>368</v>
      </c>
      <c r="B27" s="14"/>
      <c r="C27" s="14"/>
      <c r="D27" s="14"/>
      <c r="E27" s="14"/>
      <c r="F27" s="14"/>
    </row>
    <row r="28" spans="1:6" x14ac:dyDescent="0.3">
      <c r="A28" s="14" t="s">
        <v>369</v>
      </c>
      <c r="B28" s="20">
        <v>-124</v>
      </c>
      <c r="C28" s="20">
        <v>-188</v>
      </c>
      <c r="D28" s="20">
        <v>-207</v>
      </c>
      <c r="E28" s="20">
        <v>-199</v>
      </c>
      <c r="F28" s="20">
        <v>-221</v>
      </c>
    </row>
    <row r="29" spans="1:6" x14ac:dyDescent="0.3">
      <c r="A29" s="14" t="s">
        <v>370</v>
      </c>
      <c r="B29" s="20">
        <v>-1239</v>
      </c>
      <c r="C29" s="20">
        <v>-3391</v>
      </c>
      <c r="D29" s="18" t="s">
        <v>342</v>
      </c>
      <c r="E29" s="18" t="s">
        <v>342</v>
      </c>
      <c r="F29" s="18" t="s">
        <v>342</v>
      </c>
    </row>
    <row r="30" spans="1:6" x14ac:dyDescent="0.3">
      <c r="A30" s="14" t="s">
        <v>371</v>
      </c>
      <c r="B30" s="20">
        <v>3686</v>
      </c>
      <c r="C30" s="20">
        <v>1329</v>
      </c>
      <c r="D30" s="20">
        <v>395</v>
      </c>
      <c r="E30" s="20">
        <v>632</v>
      </c>
      <c r="F30" s="20">
        <v>695</v>
      </c>
    </row>
    <row r="31" spans="1:6" x14ac:dyDescent="0.3">
      <c r="A31" s="14" t="s">
        <v>372</v>
      </c>
      <c r="B31" s="20">
        <v>-2828</v>
      </c>
      <c r="C31" s="20">
        <v>-554</v>
      </c>
      <c r="D31" s="20">
        <v>-405</v>
      </c>
      <c r="E31" s="20">
        <v>-640</v>
      </c>
      <c r="F31" s="20">
        <v>-437</v>
      </c>
    </row>
    <row r="32" spans="1:6" x14ac:dyDescent="0.3">
      <c r="A32" s="14" t="s">
        <v>373</v>
      </c>
      <c r="B32" s="20">
        <v>-505</v>
      </c>
      <c r="C32" s="20">
        <v>-2804</v>
      </c>
      <c r="D32" s="20">
        <v>-217</v>
      </c>
      <c r="E32" s="20">
        <v>-207</v>
      </c>
      <c r="F32" s="20">
        <v>37</v>
      </c>
    </row>
    <row r="33" spans="1:6" x14ac:dyDescent="0.3">
      <c r="A33" s="19" t="s">
        <v>374</v>
      </c>
      <c r="B33" s="14"/>
      <c r="C33" s="14"/>
      <c r="D33" s="14"/>
      <c r="E33" s="14"/>
      <c r="F33" s="14"/>
    </row>
    <row r="34" spans="1:6" x14ac:dyDescent="0.3">
      <c r="A34" s="14" t="s">
        <v>375</v>
      </c>
      <c r="B34" s="20">
        <v>-600</v>
      </c>
      <c r="C34" s="18" t="s">
        <v>342</v>
      </c>
      <c r="D34" s="18" t="s">
        <v>342</v>
      </c>
      <c r="E34" s="18" t="s">
        <v>342</v>
      </c>
      <c r="F34" s="18" t="s">
        <v>342</v>
      </c>
    </row>
    <row r="35" spans="1:6" x14ac:dyDescent="0.3">
      <c r="A35" s="14" t="s">
        <v>376</v>
      </c>
      <c r="B35" s="20">
        <v>1478</v>
      </c>
      <c r="C35" s="18" t="s">
        <v>342</v>
      </c>
      <c r="D35" s="18" t="s">
        <v>342</v>
      </c>
      <c r="E35" s="18" t="s">
        <v>342</v>
      </c>
      <c r="F35" s="18" t="s">
        <v>342</v>
      </c>
    </row>
    <row r="36" spans="1:6" x14ac:dyDescent="0.3">
      <c r="A36" s="14" t="s">
        <v>377</v>
      </c>
      <c r="B36" s="20">
        <v>86</v>
      </c>
      <c r="C36" s="20">
        <v>77</v>
      </c>
      <c r="D36" s="20">
        <v>80</v>
      </c>
      <c r="E36" s="20">
        <v>77</v>
      </c>
      <c r="F36" s="20">
        <v>78</v>
      </c>
    </row>
    <row r="37" spans="1:6" x14ac:dyDescent="0.3">
      <c r="A37" s="14" t="s">
        <v>378</v>
      </c>
      <c r="B37" s="20">
        <v>-729</v>
      </c>
      <c r="C37" s="20">
        <v>-1300</v>
      </c>
      <c r="D37" s="18" t="s">
        <v>342</v>
      </c>
      <c r="E37" s="18" t="s">
        <v>342</v>
      </c>
      <c r="F37" s="18" t="s">
        <v>342</v>
      </c>
    </row>
    <row r="38" spans="1:6" x14ac:dyDescent="0.3">
      <c r="A38" s="14" t="s">
        <v>379</v>
      </c>
      <c r="B38" s="20">
        <v>-152</v>
      </c>
      <c r="C38" s="20">
        <v>-204</v>
      </c>
      <c r="D38" s="20">
        <v>-175</v>
      </c>
      <c r="E38" s="20">
        <v>-196</v>
      </c>
      <c r="F38" s="20">
        <v>-234</v>
      </c>
    </row>
    <row r="39" spans="1:6" x14ac:dyDescent="0.3">
      <c r="A39" s="14" t="s">
        <v>380</v>
      </c>
      <c r="B39" s="18" t="s">
        <v>342</v>
      </c>
      <c r="C39" s="18" t="s">
        <v>342</v>
      </c>
      <c r="D39" s="18" t="s">
        <v>342</v>
      </c>
      <c r="E39" s="20">
        <v>-1300</v>
      </c>
      <c r="F39" s="20">
        <v>-2508</v>
      </c>
    </row>
    <row r="40" spans="1:6" x14ac:dyDescent="0.3">
      <c r="A40" s="14" t="s">
        <v>381</v>
      </c>
      <c r="B40" s="20">
        <v>-98</v>
      </c>
      <c r="C40" s="20">
        <v>-193</v>
      </c>
      <c r="D40" s="20">
        <v>-1295</v>
      </c>
      <c r="E40" s="20">
        <v>-205</v>
      </c>
      <c r="F40" s="20">
        <v>-199</v>
      </c>
    </row>
    <row r="41" spans="1:6" x14ac:dyDescent="0.3">
      <c r="A41" s="14" t="s">
        <v>382</v>
      </c>
      <c r="B41" s="18" t="s">
        <v>342</v>
      </c>
      <c r="C41" s="18" t="s">
        <v>342</v>
      </c>
      <c r="D41" s="20">
        <v>-210</v>
      </c>
      <c r="E41" s="18" t="s">
        <v>342</v>
      </c>
      <c r="F41" s="18" t="s">
        <v>342</v>
      </c>
    </row>
    <row r="42" spans="1:6" x14ac:dyDescent="0.3">
      <c r="A42" s="14" t="s">
        <v>383</v>
      </c>
      <c r="B42" s="20">
        <v>-15</v>
      </c>
      <c r="C42" s="20">
        <v>-1620</v>
      </c>
      <c r="D42" s="18" t="s">
        <v>342</v>
      </c>
      <c r="E42" s="20">
        <v>-1624</v>
      </c>
      <c r="F42" s="20">
        <v>-2863</v>
      </c>
    </row>
    <row r="43" spans="1:6" x14ac:dyDescent="0.3">
      <c r="A43" s="14" t="s">
        <v>384</v>
      </c>
      <c r="B43" s="18" t="s">
        <v>342</v>
      </c>
      <c r="C43" s="18" t="s">
        <v>342</v>
      </c>
      <c r="D43" s="20">
        <v>-1600</v>
      </c>
      <c r="E43" s="18" t="s">
        <v>342</v>
      </c>
      <c r="F43" s="18" t="s">
        <v>342</v>
      </c>
    </row>
    <row r="44" spans="1:6" x14ac:dyDescent="0.3">
      <c r="A44" s="19" t="s">
        <v>193</v>
      </c>
      <c r="B44" s="14"/>
      <c r="C44" s="14"/>
      <c r="D44" s="14"/>
      <c r="E44" s="14"/>
      <c r="F44" s="14"/>
    </row>
    <row r="45" spans="1:6" x14ac:dyDescent="0.3">
      <c r="A45" s="14" t="s">
        <v>384</v>
      </c>
      <c r="B45" s="20">
        <v>78</v>
      </c>
      <c r="C45" s="20">
        <v>-3</v>
      </c>
      <c r="D45" s="18" t="s">
        <v>342</v>
      </c>
      <c r="E45" s="20">
        <v>-8</v>
      </c>
      <c r="F45" s="20">
        <v>-17</v>
      </c>
    </row>
    <row r="46" spans="1:6" x14ac:dyDescent="0.3">
      <c r="A46" s="14" t="s">
        <v>385</v>
      </c>
      <c r="B46" s="20">
        <v>1492</v>
      </c>
      <c r="C46" s="20">
        <v>-2528</v>
      </c>
      <c r="D46" s="18" t="s">
        <v>342</v>
      </c>
      <c r="E46" s="20">
        <v>476</v>
      </c>
      <c r="F46" s="20">
        <v>-764</v>
      </c>
    </row>
    <row r="47" spans="1:6" x14ac:dyDescent="0.3">
      <c r="A47" s="14" t="s">
        <v>384</v>
      </c>
      <c r="B47" s="18" t="s">
        <v>342</v>
      </c>
      <c r="C47" s="18" t="s">
        <v>342</v>
      </c>
      <c r="D47" s="20">
        <v>-41</v>
      </c>
      <c r="E47" s="18" t="s">
        <v>342</v>
      </c>
      <c r="F47" s="18" t="s">
        <v>342</v>
      </c>
    </row>
    <row r="48" spans="1:6" x14ac:dyDescent="0.3">
      <c r="A48" s="14" t="s">
        <v>385</v>
      </c>
      <c r="B48" s="18" t="s">
        <v>342</v>
      </c>
      <c r="C48" s="18" t="s">
        <v>342</v>
      </c>
      <c r="D48" s="20">
        <v>-308</v>
      </c>
      <c r="E48" s="18" t="s">
        <v>342</v>
      </c>
      <c r="F48" s="18" t="s">
        <v>342</v>
      </c>
    </row>
  </sheetData>
  <mergeCells count="2">
    <mergeCell ref="A10:F10"/>
    <mergeCell ref="A1:L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2CC77-F9A0-4A8F-87C6-95F1965F99A3}">
  <dimension ref="A1:L37"/>
  <sheetViews>
    <sheetView topLeftCell="A3" workbookViewId="0">
      <selection activeCell="C41" sqref="C41"/>
    </sheetView>
  </sheetViews>
  <sheetFormatPr defaultColWidth="8.88671875" defaultRowHeight="14.4" x14ac:dyDescent="0.3"/>
  <cols>
    <col min="1" max="1" width="46.44140625" bestFit="1" customWidth="1"/>
    <col min="2" max="2" width="19.6640625" customWidth="1"/>
    <col min="3" max="3" width="22.44140625" customWidth="1"/>
    <col min="4" max="4" width="17.109375" customWidth="1"/>
    <col min="5" max="5" width="15.44140625" customWidth="1"/>
    <col min="6" max="6" width="17" customWidth="1"/>
  </cols>
  <sheetData>
    <row r="1" spans="1:12" ht="18" x14ac:dyDescent="0.35">
      <c r="A1" s="311" t="s">
        <v>386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</row>
    <row r="2" spans="1:12" x14ac:dyDescent="0.3">
      <c r="A2" s="14" t="s">
        <v>313</v>
      </c>
    </row>
    <row r="4" spans="1:12" x14ac:dyDescent="0.3">
      <c r="A4" s="14" t="s">
        <v>314</v>
      </c>
      <c r="B4" s="13"/>
    </row>
    <row r="5" spans="1:12" x14ac:dyDescent="0.3">
      <c r="A5" s="14" t="s">
        <v>315</v>
      </c>
      <c r="B5" s="13"/>
    </row>
    <row r="6" spans="1:12" x14ac:dyDescent="0.3">
      <c r="A6" s="14" t="s">
        <v>316</v>
      </c>
      <c r="B6" s="13"/>
    </row>
    <row r="7" spans="1:12" x14ac:dyDescent="0.3">
      <c r="A7" s="14" t="s">
        <v>317</v>
      </c>
      <c r="B7" s="13"/>
    </row>
    <row r="8" spans="1:12" x14ac:dyDescent="0.3">
      <c r="A8" s="14" t="s">
        <v>318</v>
      </c>
      <c r="B8" s="13"/>
    </row>
    <row r="9" spans="1:12" x14ac:dyDescent="0.3">
      <c r="A9" s="14"/>
    </row>
    <row r="10" spans="1:12" x14ac:dyDescent="0.3">
      <c r="A10" s="310"/>
      <c r="B10" s="310"/>
      <c r="C10" s="310"/>
      <c r="D10" s="310"/>
      <c r="E10" s="310"/>
      <c r="F10" s="310"/>
    </row>
    <row r="11" spans="1:12" x14ac:dyDescent="0.3">
      <c r="A11" s="15" t="s">
        <v>319</v>
      </c>
      <c r="B11" s="16" t="s">
        <v>357</v>
      </c>
      <c r="C11" s="16" t="s">
        <v>358</v>
      </c>
      <c r="D11" s="16" t="s">
        <v>320</v>
      </c>
      <c r="E11" s="16" t="s">
        <v>321</v>
      </c>
      <c r="F11" s="16" t="s">
        <v>322</v>
      </c>
    </row>
    <row r="12" spans="1:12" x14ac:dyDescent="0.3">
      <c r="A12" s="14" t="s">
        <v>323</v>
      </c>
      <c r="B12" s="17">
        <v>44286</v>
      </c>
      <c r="C12" s="17">
        <v>44651</v>
      </c>
      <c r="D12" s="17">
        <v>45016</v>
      </c>
      <c r="E12" s="17">
        <v>45382</v>
      </c>
      <c r="F12" s="17">
        <v>45747</v>
      </c>
    </row>
    <row r="13" spans="1:12" x14ac:dyDescent="0.3">
      <c r="A13" s="14" t="s">
        <v>324</v>
      </c>
      <c r="B13" s="18" t="s">
        <v>325</v>
      </c>
      <c r="C13" s="18" t="s">
        <v>325</v>
      </c>
      <c r="D13" s="18" t="s">
        <v>325</v>
      </c>
      <c r="E13" s="18" t="s">
        <v>325</v>
      </c>
      <c r="F13" s="18" t="s">
        <v>325</v>
      </c>
    </row>
    <row r="14" spans="1:12" x14ac:dyDescent="0.3">
      <c r="A14" s="14" t="s">
        <v>326</v>
      </c>
      <c r="B14" s="18" t="s">
        <v>327</v>
      </c>
      <c r="C14" s="18" t="s">
        <v>327</v>
      </c>
      <c r="D14" s="18" t="s">
        <v>327</v>
      </c>
      <c r="E14" s="18" t="s">
        <v>327</v>
      </c>
      <c r="F14" s="18" t="s">
        <v>327</v>
      </c>
    </row>
    <row r="15" spans="1:12" x14ac:dyDescent="0.3">
      <c r="A15" s="19" t="s">
        <v>387</v>
      </c>
      <c r="B15" s="14"/>
      <c r="C15" s="14"/>
      <c r="D15" s="14"/>
      <c r="E15" s="14"/>
      <c r="F15" s="14"/>
    </row>
    <row r="16" spans="1:12" x14ac:dyDescent="0.3">
      <c r="A16" s="19" t="s">
        <v>388</v>
      </c>
      <c r="B16" s="22">
        <v>5629</v>
      </c>
      <c r="C16" s="22">
        <v>6991</v>
      </c>
      <c r="D16" s="22">
        <v>7426</v>
      </c>
      <c r="E16" s="22">
        <v>7562</v>
      </c>
      <c r="F16" s="22">
        <v>7463</v>
      </c>
    </row>
    <row r="17" spans="1:6" x14ac:dyDescent="0.3">
      <c r="A17" s="19"/>
      <c r="B17" s="22"/>
      <c r="C17" s="22"/>
      <c r="D17" s="22"/>
      <c r="E17" s="22"/>
      <c r="F17" s="22"/>
    </row>
    <row r="18" spans="1:6" x14ac:dyDescent="0.3">
      <c r="A18" s="19" t="s">
        <v>389</v>
      </c>
      <c r="B18" s="14"/>
      <c r="C18" s="14"/>
      <c r="D18" s="14"/>
      <c r="E18" s="14"/>
      <c r="F18" s="14"/>
    </row>
    <row r="19" spans="1:6" x14ac:dyDescent="0.3">
      <c r="A19" s="14" t="s">
        <v>390</v>
      </c>
      <c r="B19" s="23">
        <v>-1494</v>
      </c>
      <c r="C19" s="23">
        <v>-1859</v>
      </c>
      <c r="D19" s="23">
        <v>-1792</v>
      </c>
      <c r="E19" s="23">
        <v>-1710</v>
      </c>
      <c r="F19" s="23">
        <v>-1543</v>
      </c>
    </row>
    <row r="20" spans="1:6" x14ac:dyDescent="0.3">
      <c r="A20" s="14" t="s">
        <v>391</v>
      </c>
      <c r="B20" s="23">
        <v>-689</v>
      </c>
      <c r="C20" s="23">
        <v>-961</v>
      </c>
      <c r="D20" s="23">
        <v>-978</v>
      </c>
      <c r="E20" s="23">
        <v>-1019</v>
      </c>
      <c r="F20" s="23">
        <v>-962</v>
      </c>
    </row>
    <row r="21" spans="1:6" x14ac:dyDescent="0.3">
      <c r="A21" s="14" t="s">
        <v>392</v>
      </c>
      <c r="B21" s="23">
        <v>-592</v>
      </c>
      <c r="C21" s="23">
        <v>-673</v>
      </c>
      <c r="D21" s="23">
        <v>-727</v>
      </c>
      <c r="E21" s="23">
        <v>-691</v>
      </c>
      <c r="F21" s="23">
        <v>-745</v>
      </c>
    </row>
    <row r="22" spans="1:6" x14ac:dyDescent="0.3">
      <c r="A22" s="14" t="s">
        <v>393</v>
      </c>
      <c r="B22" s="23">
        <v>-1778</v>
      </c>
      <c r="C22" s="23">
        <v>-2186</v>
      </c>
      <c r="D22" s="23">
        <v>-2328</v>
      </c>
      <c r="E22" s="23">
        <v>-2420</v>
      </c>
      <c r="F22" s="23">
        <v>-2569</v>
      </c>
    </row>
    <row r="23" spans="1:6" x14ac:dyDescent="0.3">
      <c r="A23" s="14" t="s">
        <v>394</v>
      </c>
      <c r="B23" s="23">
        <v>-30</v>
      </c>
      <c r="C23" s="23">
        <v>-183</v>
      </c>
      <c r="D23" s="23">
        <v>-158</v>
      </c>
      <c r="E23" s="23">
        <v>-142</v>
      </c>
      <c r="F23" s="23">
        <v>-67</v>
      </c>
    </row>
    <row r="24" spans="1:6" x14ac:dyDescent="0.3">
      <c r="A24" s="14" t="s">
        <v>395</v>
      </c>
      <c r="B24" s="18" t="s">
        <v>342</v>
      </c>
      <c r="C24" s="18" t="s">
        <v>342</v>
      </c>
      <c r="D24" s="23">
        <v>-111</v>
      </c>
      <c r="E24" s="23">
        <v>-62</v>
      </c>
      <c r="F24" s="23">
        <v>-57</v>
      </c>
    </row>
    <row r="25" spans="1:6" x14ac:dyDescent="0.3">
      <c r="A25" s="14" t="s">
        <v>396</v>
      </c>
      <c r="B25" s="18" t="s">
        <v>342</v>
      </c>
      <c r="C25" s="18" t="s">
        <v>342</v>
      </c>
      <c r="D25" s="18" t="s">
        <v>342</v>
      </c>
      <c r="E25" s="18" t="s">
        <v>342</v>
      </c>
      <c r="F25" s="20">
        <v>-57</v>
      </c>
    </row>
    <row r="26" spans="1:6" x14ac:dyDescent="0.3">
      <c r="A26" s="14" t="s">
        <v>397</v>
      </c>
      <c r="B26" s="23">
        <v>-29</v>
      </c>
      <c r="C26" s="23">
        <v>-48</v>
      </c>
      <c r="D26" s="23">
        <v>-6</v>
      </c>
      <c r="E26" s="24">
        <v>71</v>
      </c>
      <c r="F26" s="24">
        <v>85</v>
      </c>
    </row>
    <row r="27" spans="1:6" x14ac:dyDescent="0.3">
      <c r="A27" s="14" t="s">
        <v>398</v>
      </c>
      <c r="B27" s="24">
        <v>1017</v>
      </c>
      <c r="C27" s="24">
        <v>1081</v>
      </c>
      <c r="D27" s="24">
        <v>1326</v>
      </c>
      <c r="E27" s="24">
        <v>1589</v>
      </c>
      <c r="F27" s="24">
        <v>1605</v>
      </c>
    </row>
    <row r="28" spans="1:6" x14ac:dyDescent="0.3">
      <c r="A28" s="14" t="s">
        <v>399</v>
      </c>
      <c r="B28" s="18" t="s">
        <v>342</v>
      </c>
      <c r="C28" s="18" t="s">
        <v>342</v>
      </c>
      <c r="D28" s="18" t="s">
        <v>342</v>
      </c>
      <c r="E28" s="18" t="s">
        <v>342</v>
      </c>
      <c r="F28" s="20">
        <v>1605</v>
      </c>
    </row>
    <row r="29" spans="1:6" x14ac:dyDescent="0.3">
      <c r="A29" s="19" t="s">
        <v>400</v>
      </c>
      <c r="B29" s="14"/>
      <c r="C29" s="14"/>
      <c r="D29" s="14"/>
      <c r="E29" s="14"/>
      <c r="F29" s="14"/>
    </row>
    <row r="30" spans="1:6" x14ac:dyDescent="0.3">
      <c r="A30" s="14" t="s">
        <v>399</v>
      </c>
      <c r="B30" s="23">
        <v>-180</v>
      </c>
      <c r="C30" s="23">
        <v>-292</v>
      </c>
      <c r="D30" s="23">
        <v>-524</v>
      </c>
      <c r="E30" s="23">
        <v>-316</v>
      </c>
      <c r="F30" s="23">
        <v>-484</v>
      </c>
    </row>
    <row r="31" spans="1:6" x14ac:dyDescent="0.3">
      <c r="A31" s="19" t="s">
        <v>401</v>
      </c>
      <c r="B31" s="22">
        <v>837</v>
      </c>
      <c r="C31" s="22">
        <v>789</v>
      </c>
      <c r="D31" s="22">
        <v>802</v>
      </c>
      <c r="E31" s="22">
        <v>1273</v>
      </c>
      <c r="F31" s="22">
        <v>1121</v>
      </c>
    </row>
    <row r="32" spans="1:6" x14ac:dyDescent="0.3">
      <c r="A32" s="14" t="s">
        <v>402</v>
      </c>
      <c r="B32" s="18" t="s">
        <v>342</v>
      </c>
      <c r="C32" s="18" t="s">
        <v>342</v>
      </c>
      <c r="D32" s="18" t="s">
        <v>342</v>
      </c>
      <c r="E32" s="18" t="s">
        <v>342</v>
      </c>
      <c r="F32" s="24">
        <v>1121</v>
      </c>
    </row>
    <row r="33" spans="1:6" x14ac:dyDescent="0.3">
      <c r="A33" s="19" t="s">
        <v>403</v>
      </c>
      <c r="B33" s="14"/>
      <c r="C33" s="14"/>
      <c r="D33" s="14"/>
      <c r="E33" s="14"/>
      <c r="F33" s="14"/>
    </row>
    <row r="34" spans="1:6" x14ac:dyDescent="0.3">
      <c r="A34" s="14" t="s">
        <v>404</v>
      </c>
      <c r="B34" s="24">
        <v>4135</v>
      </c>
      <c r="C34" s="24">
        <v>5132</v>
      </c>
      <c r="D34" s="24">
        <v>5634</v>
      </c>
      <c r="E34" s="24">
        <v>5852</v>
      </c>
      <c r="F34" s="24">
        <v>5920</v>
      </c>
    </row>
    <row r="35" spans="1:6" x14ac:dyDescent="0.3">
      <c r="A35" s="14" t="s">
        <v>405</v>
      </c>
      <c r="B35" s="24">
        <v>1046</v>
      </c>
      <c r="C35" s="24">
        <v>1129</v>
      </c>
      <c r="D35" s="24">
        <v>1332</v>
      </c>
      <c r="E35" s="24">
        <v>1518</v>
      </c>
      <c r="F35" s="24">
        <v>1520</v>
      </c>
    </row>
    <row r="36" spans="1:6" x14ac:dyDescent="0.3">
      <c r="A36" s="14" t="s">
        <v>406</v>
      </c>
      <c r="B36" s="24">
        <v>2.9</v>
      </c>
      <c r="C36" s="24">
        <v>2.78</v>
      </c>
      <c r="D36" s="24">
        <v>2.9</v>
      </c>
      <c r="E36" s="24">
        <v>4.71</v>
      </c>
      <c r="F36" s="24">
        <v>4.28</v>
      </c>
    </row>
    <row r="37" spans="1:6" x14ac:dyDescent="0.3">
      <c r="A37" s="14" t="s">
        <v>407</v>
      </c>
      <c r="B37" s="24">
        <v>2.87</v>
      </c>
      <c r="C37" s="24">
        <v>2.76</v>
      </c>
      <c r="D37" s="24">
        <v>2.88</v>
      </c>
      <c r="E37" s="24">
        <v>4.68</v>
      </c>
      <c r="F37" s="24">
        <v>4.25</v>
      </c>
    </row>
  </sheetData>
  <mergeCells count="2">
    <mergeCell ref="A10:F10"/>
    <mergeCell ref="A1:L1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1D03A68FFCFF4F989F255479B2B31E" ma:contentTypeVersion="14" ma:contentTypeDescription="Create a new document." ma:contentTypeScope="" ma:versionID="f1c284b02411e9b972c4e4cdda135050">
  <xsd:schema xmlns:xsd="http://www.w3.org/2001/XMLSchema" xmlns:xs="http://www.w3.org/2001/XMLSchema" xmlns:p="http://schemas.microsoft.com/office/2006/metadata/properties" xmlns:ns3="bf212483-7e4d-42ca-ad5c-1688cdeef90c" xmlns:ns4="716b881e-f8ee-45f1-986d-02167b2c60d1" targetNamespace="http://schemas.microsoft.com/office/2006/metadata/properties" ma:root="true" ma:fieldsID="7d1906a1835da39f11ef2e8df1bfbc13" ns3:_="" ns4:_="">
    <xsd:import namespace="bf212483-7e4d-42ca-ad5c-1688cdeef90c"/>
    <xsd:import namespace="716b881e-f8ee-45f1-986d-02167b2c60d1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212483-7e4d-42ca-ad5c-1688cdeef90c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6b881e-f8ee-45f1-986d-02167b2c60d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f212483-7e4d-42ca-ad5c-1688cdeef90c" xsi:nil="true"/>
  </documentManagement>
</p:properties>
</file>

<file path=customXml/itemProps1.xml><?xml version="1.0" encoding="utf-8"?>
<ds:datastoreItem xmlns:ds="http://schemas.openxmlformats.org/officeDocument/2006/customXml" ds:itemID="{5B185132-3A71-47F8-873F-FA772148E7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212483-7e4d-42ca-ad5c-1688cdeef90c"/>
    <ds:schemaRef ds:uri="716b881e-f8ee-45f1-986d-02167b2c60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DAE734-F933-446E-86C5-831108466F2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BB87FD-0AD8-4CDC-847D-7B7D531AA5E9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bf212483-7e4d-42ca-ad5c-1688cdeef90c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716b881e-f8ee-45f1-986d-02167b2c60d1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Cover</vt:lpstr>
      <vt:lpstr>Outputs</vt:lpstr>
      <vt:lpstr>Transaction Details</vt:lpstr>
      <vt:lpstr>Inputs and Driver</vt:lpstr>
      <vt:lpstr>Model</vt:lpstr>
      <vt:lpstr>Additional Data</vt:lpstr>
      <vt:lpstr>Balance Sheet</vt:lpstr>
      <vt:lpstr>Cash Flow Statement</vt:lpstr>
      <vt:lpstr>Income Statement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Kunarodzhvimute,D (ug)</dc:creator>
  <cp:keywords/>
  <dc:description/>
  <cp:lastModifiedBy>Kumar4,T (ug)</cp:lastModifiedBy>
  <cp:revision/>
  <dcterms:created xsi:type="dcterms:W3CDTF">2025-09-30T15:09:35Z</dcterms:created>
  <dcterms:modified xsi:type="dcterms:W3CDTF">2025-11-26T16:11:11Z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{2D5F4FA5-9EBA-49C1-8BFF-E7A394901A80}</vt:lpwstr>
  </property>
  <property fmtid="{D5CDD505-2E9C-101B-9397-08002B2CF9AE}" pid="3" name="ContentTypeId">
    <vt:lpwstr>0x010100AB1D03A68FFCFF4F989F255479B2B31E</vt:lpwstr>
  </property>
</Properties>
</file>