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secloud-my.sharepoint.com/personal/h_yu30_lse_ac_uk/Documents/PES 25-26/PES Research 25-26/Workshop/Model Examples/"/>
    </mc:Choice>
  </mc:AlternateContent>
  <xr:revisionPtr revIDLastSave="1881" documentId="11_AD4DB114E441178AC67DF4B646D5DAE4693EDF1A" xr6:coauthVersionLast="47" xr6:coauthVersionMax="47" xr10:uidLastSave="{34DC3C94-78C4-47B8-9E13-C932845CE4FD}"/>
  <bookViews>
    <workbookView xWindow="-108" yWindow="-108" windowWidth="23256" windowHeight="13896" firstSheet="1" activeTab="4" xr2:uid="{00000000-000D-0000-FFFF-FFFF00000000}"/>
  </bookViews>
  <sheets>
    <sheet name="1. EV and Equity Value" sheetId="6" r:id="rId1"/>
    <sheet name="2. Basic LBO and Returns" sheetId="1" r:id="rId2"/>
    <sheet name="3. Accounting &amp; Projecting" sheetId="7" r:id="rId3"/>
    <sheet name="4. Lemon Grove LBO Case Study" sheetId="12" state="hidden" r:id="rId4"/>
    <sheet name="4.1 Lemon Grove Case Study Ans" sheetId="10" r:id="rId5"/>
  </sheets>
  <calcPr calcId="191029" iterate="1"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6" l="1"/>
  <c r="I21" i="6"/>
  <c r="I23" i="6" s="1"/>
  <c r="I22" i="6"/>
  <c r="I20" i="6"/>
  <c r="I16" i="6"/>
  <c r="I15" i="6"/>
  <c r="I14" i="6"/>
  <c r="I12" i="6"/>
  <c r="I13" i="6"/>
  <c r="I6" i="6"/>
  <c r="I5" i="6"/>
  <c r="I4" i="6"/>
  <c r="I90" i="7"/>
  <c r="J92" i="7" s="1"/>
  <c r="J101" i="7" s="1"/>
  <c r="J90" i="7"/>
  <c r="K92" i="7" s="1"/>
  <c r="K101" i="7" s="1"/>
  <c r="K102" i="7" s="1"/>
  <c r="K90" i="7"/>
  <c r="L92" i="7" s="1"/>
  <c r="L101" i="7" s="1"/>
  <c r="L90" i="7"/>
  <c r="M90" i="7"/>
  <c r="N90" i="7"/>
  <c r="N92" i="7" s="1"/>
  <c r="N101" i="7" s="1"/>
  <c r="I88" i="7"/>
  <c r="J88" i="7"/>
  <c r="K88" i="7"/>
  <c r="L88" i="7"/>
  <c r="M88" i="7"/>
  <c r="N88" i="7"/>
  <c r="I89" i="7"/>
  <c r="J89" i="7"/>
  <c r="K89" i="7"/>
  <c r="L89" i="7"/>
  <c r="M89" i="7"/>
  <c r="N89" i="7"/>
  <c r="J82" i="7"/>
  <c r="K82" i="7"/>
  <c r="L82" i="7"/>
  <c r="M82" i="7"/>
  <c r="N82" i="7"/>
  <c r="J83" i="7"/>
  <c r="K83" i="7"/>
  <c r="L83" i="7"/>
  <c r="M83" i="7"/>
  <c r="N83" i="7"/>
  <c r="J84" i="7"/>
  <c r="K84" i="7"/>
  <c r="L84" i="7"/>
  <c r="M84" i="7"/>
  <c r="N84" i="7"/>
  <c r="J85" i="7"/>
  <c r="K85" i="7"/>
  <c r="L85" i="7"/>
  <c r="M85" i="7"/>
  <c r="N85" i="7"/>
  <c r="J86" i="7"/>
  <c r="K86" i="7"/>
  <c r="L86" i="7"/>
  <c r="M86" i="7"/>
  <c r="N86" i="7"/>
  <c r="I86" i="7"/>
  <c r="I85" i="7"/>
  <c r="I84" i="7"/>
  <c r="I83" i="7"/>
  <c r="I82" i="7"/>
  <c r="I79" i="7"/>
  <c r="J79" i="7" s="1"/>
  <c r="K79" i="7" s="1"/>
  <c r="L79" i="7" s="1"/>
  <c r="M79" i="7" s="1"/>
  <c r="I78" i="7"/>
  <c r="J78" i="7" s="1"/>
  <c r="K78" i="7" s="1"/>
  <c r="L78" i="7" s="1"/>
  <c r="M78" i="7" s="1"/>
  <c r="I77" i="7"/>
  <c r="J77" i="7" s="1"/>
  <c r="K77" i="7" s="1"/>
  <c r="L77" i="7" s="1"/>
  <c r="M77" i="7" s="1"/>
  <c r="I76" i="7"/>
  <c r="J76" i="7" s="1"/>
  <c r="K76" i="7" s="1"/>
  <c r="L76" i="7" s="1"/>
  <c r="M76" i="7" s="1"/>
  <c r="J75" i="7"/>
  <c r="K75" i="7" s="1"/>
  <c r="L75" i="7" s="1"/>
  <c r="M75" i="7" s="1"/>
  <c r="I75" i="7"/>
  <c r="N79" i="7"/>
  <c r="N78" i="7"/>
  <c r="N77" i="7"/>
  <c r="N76" i="7"/>
  <c r="N75" i="7"/>
  <c r="H79" i="7"/>
  <c r="G79" i="7"/>
  <c r="H78" i="7"/>
  <c r="G78" i="7"/>
  <c r="H77" i="7"/>
  <c r="G77" i="7"/>
  <c r="H76" i="7"/>
  <c r="G76" i="7"/>
  <c r="H75" i="7"/>
  <c r="G75" i="7"/>
  <c r="F79" i="7"/>
  <c r="F78" i="7"/>
  <c r="F77" i="7"/>
  <c r="F76" i="7"/>
  <c r="F75" i="7"/>
  <c r="D82" i="12"/>
  <c r="D76" i="12"/>
  <c r="D75" i="12"/>
  <c r="D74" i="12"/>
  <c r="D73" i="12"/>
  <c r="M78" i="12"/>
  <c r="M77" i="12"/>
  <c r="M75" i="12"/>
  <c r="M74" i="12"/>
  <c r="M73" i="12"/>
  <c r="I79" i="12"/>
  <c r="I78" i="12"/>
  <c r="I77" i="12"/>
  <c r="I76" i="12"/>
  <c r="I75" i="12"/>
  <c r="I74" i="12"/>
  <c r="I73" i="12"/>
  <c r="K56" i="12"/>
  <c r="L56" i="12"/>
  <c r="M56" i="12" s="1"/>
  <c r="N56" i="12" s="1"/>
  <c r="J56" i="12"/>
  <c r="K51" i="12"/>
  <c r="L51" i="12"/>
  <c r="M51" i="12"/>
  <c r="N51" i="12"/>
  <c r="K52" i="12"/>
  <c r="L52" i="12"/>
  <c r="M52" i="12"/>
  <c r="M55" i="12" s="1"/>
  <c r="N52" i="12"/>
  <c r="N55" i="12" s="1"/>
  <c r="K53" i="12"/>
  <c r="L53" i="12"/>
  <c r="M53" i="12"/>
  <c r="N53" i="12"/>
  <c r="K54" i="12"/>
  <c r="L54" i="12"/>
  <c r="M54" i="12"/>
  <c r="N54" i="12"/>
  <c r="K55" i="12"/>
  <c r="L55" i="12"/>
  <c r="J55" i="12"/>
  <c r="J54" i="12"/>
  <c r="K39" i="12"/>
  <c r="L39" i="12"/>
  <c r="M39" i="12"/>
  <c r="N39" i="12"/>
  <c r="J39" i="12"/>
  <c r="L64" i="12"/>
  <c r="L65" i="12" s="1"/>
  <c r="M64" i="12"/>
  <c r="M65" i="12" s="1"/>
  <c r="N64" i="12"/>
  <c r="N65" i="12" s="1"/>
  <c r="K65" i="12"/>
  <c r="K64" i="12"/>
  <c r="L63" i="12"/>
  <c r="M63" i="12"/>
  <c r="N63" i="12" s="1"/>
  <c r="K63" i="12"/>
  <c r="J65" i="12"/>
  <c r="J64" i="12"/>
  <c r="J63" i="12"/>
  <c r="K61" i="12"/>
  <c r="L61" i="12"/>
  <c r="M61" i="12"/>
  <c r="N61" i="12"/>
  <c r="J61" i="12"/>
  <c r="K60" i="12"/>
  <c r="L60" i="12"/>
  <c r="M60" i="12"/>
  <c r="N60" i="12"/>
  <c r="J60" i="12"/>
  <c r="J53" i="12"/>
  <c r="J52" i="12"/>
  <c r="E43" i="12"/>
  <c r="J34" i="12"/>
  <c r="J31" i="12"/>
  <c r="J37" i="12" s="1"/>
  <c r="I31" i="12"/>
  <c r="J28" i="12"/>
  <c r="K28" i="12" s="1"/>
  <c r="I8" i="12"/>
  <c r="H7" i="12"/>
  <c r="I7" i="12" s="1"/>
  <c r="M8" i="12"/>
  <c r="D15" i="12"/>
  <c r="D12" i="12"/>
  <c r="D16" i="12" s="1"/>
  <c r="M7" i="12" s="1"/>
  <c r="M9" i="12" s="1"/>
  <c r="H10" i="12" s="1"/>
  <c r="J99" i="7"/>
  <c r="K99" i="7"/>
  <c r="L99" i="7"/>
  <c r="M99" i="7"/>
  <c r="N99" i="7"/>
  <c r="J100" i="7"/>
  <c r="K100" i="7"/>
  <c r="L100" i="7"/>
  <c r="M100" i="7"/>
  <c r="N100" i="7"/>
  <c r="I100" i="7"/>
  <c r="I99" i="7"/>
  <c r="M92" i="7"/>
  <c r="M101" i="7" s="1"/>
  <c r="N62" i="7"/>
  <c r="M62" i="7"/>
  <c r="L62" i="7"/>
  <c r="K62" i="7"/>
  <c r="J62" i="7"/>
  <c r="I62" i="7"/>
  <c r="K63" i="7"/>
  <c r="L63" i="7"/>
  <c r="M63" i="7"/>
  <c r="N63" i="7"/>
  <c r="J63" i="7"/>
  <c r="I63" i="7"/>
  <c r="G63" i="7"/>
  <c r="H63" i="7"/>
  <c r="F63" i="7"/>
  <c r="J52" i="7"/>
  <c r="K52" i="7"/>
  <c r="L52" i="7"/>
  <c r="M52" i="7"/>
  <c r="N52" i="7"/>
  <c r="I52" i="7"/>
  <c r="K53" i="7"/>
  <c r="L53" i="7" s="1"/>
  <c r="M53" i="7" s="1"/>
  <c r="N53" i="7" s="1"/>
  <c r="J53" i="7"/>
  <c r="I53" i="7"/>
  <c r="G53" i="7"/>
  <c r="H53" i="7"/>
  <c r="F53" i="7"/>
  <c r="J49" i="7"/>
  <c r="K49" i="7"/>
  <c r="L49" i="7"/>
  <c r="M49" i="7"/>
  <c r="N49" i="7"/>
  <c r="I49" i="7"/>
  <c r="K50" i="7"/>
  <c r="L50" i="7" s="1"/>
  <c r="M50" i="7" s="1"/>
  <c r="N50" i="7" s="1"/>
  <c r="J50" i="7"/>
  <c r="I50" i="7"/>
  <c r="G50" i="7"/>
  <c r="H50" i="7"/>
  <c r="F50" i="7"/>
  <c r="J48" i="7"/>
  <c r="K48" i="7" s="1"/>
  <c r="L48" i="7" s="1"/>
  <c r="M48" i="7" s="1"/>
  <c r="N48" i="7" s="1"/>
  <c r="I48" i="7"/>
  <c r="N102" i="7" l="1"/>
  <c r="M102" i="7"/>
  <c r="L102" i="7"/>
  <c r="J102" i="7"/>
  <c r="I92" i="7"/>
  <c r="I101" i="7" s="1"/>
  <c r="I102" i="7" s="1"/>
  <c r="J41" i="12"/>
  <c r="J43" i="12" s="1"/>
  <c r="J44" i="12" s="1"/>
  <c r="J51" i="12" s="1"/>
  <c r="H9" i="12"/>
  <c r="I9" i="12" s="1"/>
  <c r="I10" i="12"/>
  <c r="L28" i="12"/>
  <c r="K34" i="12"/>
  <c r="K31" i="12"/>
  <c r="K37" i="12" s="1"/>
  <c r="K41" i="12" s="1"/>
  <c r="K43" i="12" s="1"/>
  <c r="K44" i="12" l="1"/>
  <c r="M28" i="12"/>
  <c r="L31" i="12"/>
  <c r="L34" i="12"/>
  <c r="L37" i="12" l="1"/>
  <c r="L41" i="12" s="1"/>
  <c r="N28" i="12"/>
  <c r="M34" i="12"/>
  <c r="M31" i="12"/>
  <c r="M37" i="12" l="1"/>
  <c r="M41" i="12" s="1"/>
  <c r="N34" i="12"/>
  <c r="N31" i="12"/>
  <c r="L43" i="12"/>
  <c r="L44" i="12" s="1"/>
  <c r="N37" i="12" l="1"/>
  <c r="N41" i="12" s="1"/>
  <c r="M43" i="12"/>
  <c r="M44" i="12" s="1"/>
  <c r="N43" i="12" l="1"/>
  <c r="N44" i="12" s="1"/>
  <c r="G90" i="7" l="1"/>
  <c r="H90" i="7"/>
  <c r="F90" i="7"/>
  <c r="G89" i="7"/>
  <c r="H89" i="7"/>
  <c r="F89" i="7"/>
  <c r="G88" i="7"/>
  <c r="H88" i="7"/>
  <c r="F88" i="7"/>
  <c r="J98" i="7"/>
  <c r="K98" i="7" s="1"/>
  <c r="L98" i="7" s="1"/>
  <c r="M98" i="7" s="1"/>
  <c r="N98" i="7" s="1"/>
  <c r="G96" i="7"/>
  <c r="H96" i="7" s="1"/>
  <c r="I96" i="7" s="1"/>
  <c r="J96" i="7" s="1"/>
  <c r="K96" i="7" s="1"/>
  <c r="L96" i="7" s="1"/>
  <c r="M96" i="7" s="1"/>
  <c r="N96" i="7" s="1"/>
  <c r="G71" i="7"/>
  <c r="H71" i="7"/>
  <c r="G72" i="7"/>
  <c r="H72" i="7"/>
  <c r="F72" i="7"/>
  <c r="F71" i="7"/>
  <c r="G70" i="7"/>
  <c r="H70" i="7" s="1"/>
  <c r="I70" i="7" s="1"/>
  <c r="J70" i="7" s="1"/>
  <c r="K70" i="7" s="1"/>
  <c r="L70" i="7" s="1"/>
  <c r="M70" i="7" s="1"/>
  <c r="N70" i="7" s="1"/>
  <c r="G68" i="7"/>
  <c r="H68" i="7" s="1"/>
  <c r="I68" i="7" s="1"/>
  <c r="J68" i="7" s="1"/>
  <c r="K68" i="7" s="1"/>
  <c r="L68" i="7" s="1"/>
  <c r="M68" i="7" s="1"/>
  <c r="N68" i="7" s="1"/>
  <c r="F60" i="7"/>
  <c r="G60" i="7"/>
  <c r="H60" i="7"/>
  <c r="J71" i="7"/>
  <c r="G46" i="7"/>
  <c r="H46" i="7" s="1"/>
  <c r="I46" i="7" s="1"/>
  <c r="J46" i="7" s="1"/>
  <c r="K46" i="7" s="1"/>
  <c r="L46" i="7" s="1"/>
  <c r="M46" i="7" s="1"/>
  <c r="N46" i="7" s="1"/>
  <c r="I74" i="10"/>
  <c r="K64" i="10"/>
  <c r="L64" i="10"/>
  <c r="M64" i="10"/>
  <c r="N64" i="10"/>
  <c r="J64" i="10"/>
  <c r="J63" i="10"/>
  <c r="K63" i="10" s="1"/>
  <c r="I72" i="7" l="1"/>
  <c r="I71" i="7"/>
  <c r="I60" i="7"/>
  <c r="K71" i="7"/>
  <c r="J60" i="7"/>
  <c r="J72" i="7"/>
  <c r="J65" i="10"/>
  <c r="J39" i="10" s="1"/>
  <c r="L63" i="10"/>
  <c r="K65" i="10"/>
  <c r="K39" i="10" s="1"/>
  <c r="K72" i="7" l="1"/>
  <c r="L71" i="7"/>
  <c r="K60" i="7"/>
  <c r="M63" i="10"/>
  <c r="L65" i="10"/>
  <c r="L39" i="10" s="1"/>
  <c r="M71" i="7" l="1"/>
  <c r="L72" i="7"/>
  <c r="L60" i="7"/>
  <c r="N63" i="10"/>
  <c r="M65" i="10"/>
  <c r="M39" i="10" s="1"/>
  <c r="N71" i="7" l="1"/>
  <c r="M60" i="7"/>
  <c r="M72" i="7"/>
  <c r="N65" i="10"/>
  <c r="N39" i="10" s="1"/>
  <c r="I76" i="10"/>
  <c r="N72" i="7" l="1"/>
  <c r="N60" i="7"/>
  <c r="H7" i="10" l="1"/>
  <c r="I7" i="10" s="1"/>
  <c r="M8" i="10"/>
  <c r="M10" i="1"/>
  <c r="H9" i="1"/>
  <c r="I9" i="1" s="1"/>
  <c r="E42" i="10"/>
  <c r="N35" i="10"/>
  <c r="M35" i="10"/>
  <c r="L35" i="10"/>
  <c r="K35" i="10"/>
  <c r="J35" i="10"/>
  <c r="I31" i="10"/>
  <c r="N32" i="10"/>
  <c r="M32" i="10"/>
  <c r="L32" i="10"/>
  <c r="K32" i="10"/>
  <c r="J32" i="10"/>
  <c r="N29" i="10"/>
  <c r="M29" i="10"/>
  <c r="L29" i="10"/>
  <c r="K29" i="10"/>
  <c r="J29" i="10"/>
  <c r="J28" i="10" s="1"/>
  <c r="J53" i="10" s="1"/>
  <c r="I8" i="10"/>
  <c r="D15" i="10"/>
  <c r="D12" i="10"/>
  <c r="D16" i="10" s="1"/>
  <c r="M7" i="10" s="1"/>
  <c r="J49" i="12"/>
  <c r="K49" i="12" s="1"/>
  <c r="L49" i="12" s="1"/>
  <c r="M49" i="12" s="1"/>
  <c r="N49" i="12" s="1"/>
  <c r="J26" i="12"/>
  <c r="K26" i="12" s="1"/>
  <c r="L26" i="12" s="1"/>
  <c r="M26" i="12" s="1"/>
  <c r="N26" i="12" s="1"/>
  <c r="J49" i="10"/>
  <c r="K49" i="10" s="1"/>
  <c r="L49" i="10" s="1"/>
  <c r="M49" i="10" s="1"/>
  <c r="N49" i="10" s="1"/>
  <c r="M75" i="10" s="1"/>
  <c r="J26" i="10"/>
  <c r="K26" i="10" s="1"/>
  <c r="L26" i="10" s="1"/>
  <c r="M26" i="10" s="1"/>
  <c r="N26" i="10" s="1"/>
  <c r="J31" i="10" l="1"/>
  <c r="J60" i="10"/>
  <c r="J34" i="10"/>
  <c r="M9" i="10"/>
  <c r="H10" i="10" s="1"/>
  <c r="H9" i="10" s="1"/>
  <c r="M74" i="10" s="1"/>
  <c r="K28" i="10"/>
  <c r="I9" i="10"/>
  <c r="I10" i="10" s="1"/>
  <c r="K53" i="10" l="1"/>
  <c r="K60" i="10"/>
  <c r="J37" i="10"/>
  <c r="J41" i="10" s="1"/>
  <c r="J43" i="10" s="1"/>
  <c r="J44" i="10" s="1"/>
  <c r="J51" i="10" s="1"/>
  <c r="J55" i="10" s="1"/>
  <c r="J56" i="10" s="1"/>
  <c r="J52" i="10"/>
  <c r="K61" i="10"/>
  <c r="K54" i="10" s="1"/>
  <c r="J61" i="10"/>
  <c r="J54" i="10" s="1"/>
  <c r="L28" i="10"/>
  <c r="K31" i="10"/>
  <c r="K34" i="10"/>
  <c r="K37" i="10" l="1"/>
  <c r="K41" i="10" s="1"/>
  <c r="K52" i="10"/>
  <c r="L60" i="10"/>
  <c r="L53" i="10"/>
  <c r="L61" i="10"/>
  <c r="L54" i="10" s="1"/>
  <c r="K43" i="10"/>
  <c r="K44" i="10" s="1"/>
  <c r="K51" i="10" s="1"/>
  <c r="K55" i="10" s="1"/>
  <c r="K56" i="10" s="1"/>
  <c r="M28" i="10"/>
  <c r="L31" i="10"/>
  <c r="L34" i="10"/>
  <c r="L37" i="10" l="1"/>
  <c r="L41" i="10" s="1"/>
  <c r="L52" i="10"/>
  <c r="M53" i="10"/>
  <c r="M60" i="10"/>
  <c r="M61" i="10"/>
  <c r="M54" i="10" s="1"/>
  <c r="L43" i="10"/>
  <c r="L44" i="10" s="1"/>
  <c r="L51" i="10" s="1"/>
  <c r="L55" i="10" s="1"/>
  <c r="L56" i="10" s="1"/>
  <c r="N28" i="10"/>
  <c r="M31" i="10"/>
  <c r="M34" i="10"/>
  <c r="M37" i="10" l="1"/>
  <c r="M41" i="10" s="1"/>
  <c r="M52" i="10"/>
  <c r="N60" i="10"/>
  <c r="N53" i="10"/>
  <c r="N61" i="10"/>
  <c r="N54" i="10" s="1"/>
  <c r="M43" i="10"/>
  <c r="M44" i="10" s="1"/>
  <c r="M51" i="10" s="1"/>
  <c r="M55" i="10" s="1"/>
  <c r="M56" i="10" s="1"/>
  <c r="N34" i="10"/>
  <c r="N52" i="10" s="1"/>
  <c r="N31" i="10"/>
  <c r="D74" i="10" l="1"/>
  <c r="D73" i="10"/>
  <c r="I73" i="10"/>
  <c r="I75" i="10" s="1"/>
  <c r="N37" i="10"/>
  <c r="N41" i="10" s="1"/>
  <c r="N43" i="10" l="1"/>
  <c r="N44" i="10" s="1"/>
  <c r="N51" i="10" s="1"/>
  <c r="N55" i="10" s="1"/>
  <c r="N56" i="10" s="1"/>
  <c r="D75" i="10" s="1"/>
  <c r="D76" i="10" l="1"/>
  <c r="I77" i="10"/>
  <c r="I78" i="10" s="1"/>
  <c r="I79" i="10" s="1"/>
  <c r="N67" i="10"/>
  <c r="M73" i="10" l="1"/>
  <c r="D78" i="10"/>
  <c r="E76" i="10"/>
  <c r="E73" i="10"/>
  <c r="E74" i="10"/>
  <c r="E75" i="10"/>
  <c r="M78" i="10"/>
  <c r="M16" i="10" s="1"/>
  <c r="M77" i="10"/>
  <c r="M15" i="10" s="1"/>
  <c r="I77" i="1" l="1"/>
  <c r="N68" i="1"/>
  <c r="M68" i="1"/>
  <c r="L68" i="1"/>
  <c r="K68" i="1"/>
  <c r="J68" i="1"/>
  <c r="J52" i="1"/>
  <c r="K52" i="1" s="1"/>
  <c r="L52" i="1" s="1"/>
  <c r="M52" i="1" s="1"/>
  <c r="N52" i="1" s="1"/>
  <c r="M79" i="1" s="1"/>
  <c r="I38" i="1"/>
  <c r="N41" i="1"/>
  <c r="M41" i="1"/>
  <c r="L41" i="1"/>
  <c r="K41" i="1"/>
  <c r="J41" i="1"/>
  <c r="I40" i="1"/>
  <c r="N46" i="1"/>
  <c r="M46" i="1"/>
  <c r="L46" i="1"/>
  <c r="K46" i="1"/>
  <c r="J46" i="1"/>
  <c r="I46" i="1"/>
  <c r="I36" i="1"/>
  <c r="I33" i="1"/>
  <c r="N36" i="1"/>
  <c r="M36" i="1"/>
  <c r="L36" i="1"/>
  <c r="K36" i="1"/>
  <c r="J36" i="1"/>
  <c r="N33" i="1"/>
  <c r="M33" i="1"/>
  <c r="L33" i="1"/>
  <c r="K33" i="1"/>
  <c r="J33" i="1"/>
  <c r="K30" i="1"/>
  <c r="L30" i="1"/>
  <c r="M30" i="1"/>
  <c r="N30" i="1"/>
  <c r="J30" i="1"/>
  <c r="J29" i="1" s="1"/>
  <c r="J55" i="1" s="1"/>
  <c r="J27" i="1"/>
  <c r="K27" i="1" s="1"/>
  <c r="L27" i="1" s="1"/>
  <c r="M27" i="1" s="1"/>
  <c r="N27" i="1" s="1"/>
  <c r="J64" i="1" l="1"/>
  <c r="J35" i="1"/>
  <c r="I43" i="1"/>
  <c r="I45" i="1" s="1"/>
  <c r="I48" i="1" s="1"/>
  <c r="K29" i="1"/>
  <c r="K64" i="1" s="1"/>
  <c r="J32" i="1"/>
  <c r="J38" i="1" s="1"/>
  <c r="J65" i="1" l="1"/>
  <c r="J58" i="1" s="1"/>
  <c r="K65" i="1"/>
  <c r="K58" i="1" s="1"/>
  <c r="K32" i="1"/>
  <c r="K55" i="1"/>
  <c r="K35" i="1"/>
  <c r="L29" i="1"/>
  <c r="L32" i="1" s="1"/>
  <c r="K38" i="1"/>
  <c r="L55" i="1" l="1"/>
  <c r="L64" i="1"/>
  <c r="M29" i="1"/>
  <c r="L35" i="1"/>
  <c r="L38" i="1" s="1"/>
  <c r="M55" i="1" l="1"/>
  <c r="M64" i="1"/>
  <c r="M65" i="1" s="1"/>
  <c r="M58" i="1" s="1"/>
  <c r="L65" i="1"/>
  <c r="L58" i="1" s="1"/>
  <c r="M35" i="1"/>
  <c r="N29" i="1"/>
  <c r="M32" i="1"/>
  <c r="M38" i="1" l="1"/>
  <c r="N55" i="1"/>
  <c r="N64" i="1"/>
  <c r="N65" i="1" s="1"/>
  <c r="N58" i="1" s="1"/>
  <c r="N35" i="1"/>
  <c r="N32" i="1"/>
  <c r="D78" i="1" s="1"/>
  <c r="M20" i="1" s="1"/>
  <c r="D77" i="1" l="1"/>
  <c r="M19" i="1" s="1"/>
  <c r="I78" i="1"/>
  <c r="I79" i="1" s="1"/>
  <c r="N38" i="1"/>
  <c r="H10" i="1" l="1"/>
  <c r="D18" i="1"/>
  <c r="D15" i="1"/>
  <c r="M67" i="1" l="1"/>
  <c r="M69" i="1" s="1"/>
  <c r="M40" i="1" s="1"/>
  <c r="L67" i="1"/>
  <c r="L69" i="1" s="1"/>
  <c r="L40" i="1" s="1"/>
  <c r="K67" i="1"/>
  <c r="K69" i="1" s="1"/>
  <c r="K40" i="1" s="1"/>
  <c r="J67" i="1"/>
  <c r="J69" i="1" s="1"/>
  <c r="J40" i="1" s="1"/>
  <c r="N67" i="1"/>
  <c r="D19" i="1"/>
  <c r="M9" i="1" s="1"/>
  <c r="M11" i="1" s="1"/>
  <c r="H12" i="1" s="1"/>
  <c r="H11" i="1" s="1"/>
  <c r="K57" i="1" l="1"/>
  <c r="K43" i="1"/>
  <c r="L57" i="1"/>
  <c r="L43" i="1"/>
  <c r="N69" i="1"/>
  <c r="N40" i="1" s="1"/>
  <c r="J57" i="1"/>
  <c r="J43" i="1"/>
  <c r="M57" i="1"/>
  <c r="M43" i="1"/>
  <c r="L45" i="1" l="1"/>
  <c r="L56" i="1" s="1"/>
  <c r="L48" i="1"/>
  <c r="L54" i="1" s="1"/>
  <c r="L59" i="1" s="1"/>
  <c r="J45" i="1"/>
  <c r="J56" i="1" s="1"/>
  <c r="N57" i="1"/>
  <c r="N43" i="1"/>
  <c r="K45" i="1"/>
  <c r="K56" i="1" s="1"/>
  <c r="M45" i="1"/>
  <c r="M56" i="1" s="1"/>
  <c r="J48" i="1" l="1"/>
  <c r="J54" i="1" s="1"/>
  <c r="J59" i="1" s="1"/>
  <c r="J60" i="1" s="1"/>
  <c r="M48" i="1"/>
  <c r="M54" i="1" s="1"/>
  <c r="M59" i="1" s="1"/>
  <c r="N45" i="1"/>
  <c r="N56" i="1" s="1"/>
  <c r="K48" i="1"/>
  <c r="K54" i="1" s="1"/>
  <c r="K59" i="1" s="1"/>
  <c r="K60" i="1" l="1"/>
  <c r="L60" i="1" s="1"/>
  <c r="M60" i="1" s="1"/>
  <c r="N48" i="1"/>
  <c r="N54" i="1" s="1"/>
  <c r="N59" i="1" s="1"/>
  <c r="N60" i="1" l="1"/>
  <c r="N71" i="1" s="1"/>
  <c r="D79" i="1" s="1"/>
  <c r="M21" i="1" s="1"/>
  <c r="I80" i="1" l="1"/>
  <c r="I81" i="1" s="1"/>
  <c r="M78" i="1" s="1"/>
  <c r="D80" i="1"/>
  <c r="E79" i="1" l="1"/>
  <c r="N21" i="1" s="1"/>
  <c r="M22" i="1"/>
  <c r="E80" i="1"/>
  <c r="N22" i="1" s="1"/>
  <c r="E78" i="1"/>
  <c r="N20" i="1" s="1"/>
  <c r="E77" i="1"/>
  <c r="N19" i="1" s="1"/>
  <c r="I11" i="1"/>
  <c r="I12" i="1" s="1"/>
  <c r="M77" i="1"/>
  <c r="M80" i="1"/>
  <c r="M16" i="1" s="1"/>
  <c r="M81" i="1"/>
  <c r="M17" i="1" s="1"/>
  <c r="C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Tejjas Kumar</author>
  </authors>
  <commentList>
    <comment ref="O11" authorId="0" shapeId="0" xr:uid="{8A2B42ED-A598-43D7-A8D0-50388C00D3BC}">
      <text>
        <r>
          <rPr>
            <b/>
            <sz val="9"/>
            <color indexed="81"/>
            <rFont val="Tahoma"/>
            <family val="2"/>
          </rPr>
          <t>Tejjas Kumar:</t>
        </r>
        <r>
          <rPr>
            <sz val="9"/>
            <color indexed="81"/>
            <rFont val="Tahoma"/>
            <family val="2"/>
          </rPr>
          <t xml:space="preserve">
We will usually see fees, refinancing costs, restructuring expenses etc. here too!</t>
        </r>
      </text>
    </comment>
    <comment ref="I18" authorId="0" shapeId="0" xr:uid="{CECF411A-73AB-4DCC-8D6C-5FC96D3D5740}">
      <text>
        <r>
          <rPr>
            <b/>
            <sz val="9"/>
            <color indexed="81"/>
            <rFont val="Tahoma"/>
            <family val="2"/>
          </rPr>
          <t>Tejjas Kumar:</t>
        </r>
        <r>
          <rPr>
            <sz val="9"/>
            <color indexed="81"/>
            <rFont val="Tahoma"/>
            <family val="2"/>
          </rPr>
          <t xml:space="preserve">
We will assume bullet debt paydown
</t>
        </r>
      </text>
    </comment>
    <comment ref="D71" authorId="0" shapeId="0" xr:uid="{23E2CEFE-FF71-4629-9307-E4BB97F0CAF9}">
      <text>
        <r>
          <rPr>
            <b/>
            <sz val="9"/>
            <color indexed="81"/>
            <rFont val="Tahoma"/>
            <family val="2"/>
          </rPr>
          <t>Tejjas Kumar:</t>
        </r>
        <r>
          <rPr>
            <sz val="9"/>
            <color indexed="81"/>
            <rFont val="Tahoma"/>
            <family val="2"/>
          </rPr>
          <t xml:space="preserve">
This is the balance left over at Sale, once all generated cash flows are used to pay down as much debt as possible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Tejjas Kumar</author>
  </authors>
  <commentList>
    <comment ref="H39" authorId="0" shapeId="0" xr:uid="{331AC09B-0142-4A5D-8233-63CBE9A1D98F}">
      <text>
        <r>
          <rPr>
            <b/>
            <sz val="9"/>
            <color indexed="81"/>
            <rFont val="Tahoma"/>
            <family val="2"/>
          </rPr>
          <t>Tejjas Kumar:</t>
        </r>
        <r>
          <rPr>
            <sz val="9"/>
            <color indexed="81"/>
            <rFont val="Tahoma"/>
            <family val="2"/>
          </rPr>
          <t xml:space="preserve">
&lt;- Cash Available for Debt Service, used at the top of our Debt Schedule</t>
        </r>
      </text>
    </comment>
    <comment ref="O84" authorId="0" shapeId="0" xr:uid="{F437B5C9-25E4-4BAA-86A6-0965274C279C}">
      <text>
        <r>
          <rPr>
            <b/>
            <sz val="9"/>
            <color indexed="81"/>
            <rFont val="Tahoma"/>
            <family val="2"/>
          </rPr>
          <t>Tejjas Kumar:</t>
        </r>
        <r>
          <rPr>
            <sz val="9"/>
            <color indexed="81"/>
            <rFont val="Tahoma"/>
            <family val="2"/>
          </rPr>
          <t xml:space="preserve">
Question: Which of these assets is the poorest measure of short term liquidity?</t>
        </r>
      </text>
    </comment>
    <comment ref="AF84" authorId="0" shapeId="0" xr:uid="{0601C9AB-31D3-4085-9E0B-31E742622836}">
      <text>
        <r>
          <rPr>
            <b/>
            <sz val="9"/>
            <color indexed="81"/>
            <rFont val="Tahoma"/>
            <family val="2"/>
          </rPr>
          <t>Tejjas Kumar:</t>
        </r>
        <r>
          <rPr>
            <sz val="9"/>
            <color indexed="81"/>
            <rFont val="Tahoma"/>
            <family val="2"/>
          </rPr>
          <t xml:space="preserve">
This gives us the number of days of revenue / cogs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Tejjas Kumar</author>
  </authors>
  <commentList>
    <comment ref="E52" authorId="0" shapeId="0" xr:uid="{4C99898D-220C-4DC7-81FD-ECDCBE47957C}">
      <text>
        <r>
          <rPr>
            <b/>
            <sz val="9"/>
            <color indexed="81"/>
            <rFont val="Tahoma"/>
            <family val="2"/>
          </rPr>
          <t>Tejjas Kumar:</t>
        </r>
        <r>
          <rPr>
            <sz val="9"/>
            <color indexed="81"/>
            <rFont val="Tahoma"/>
            <family val="2"/>
          </rPr>
          <t xml:space="preserve">
There are two (main) methods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Tejjas Kumar</author>
  </authors>
  <commentList>
    <comment ref="E52" authorId="0" shapeId="0" xr:uid="{29F5C52B-3B94-4F21-B098-C656110ED8F1}">
      <text>
        <r>
          <rPr>
            <b/>
            <sz val="9"/>
            <color indexed="81"/>
            <rFont val="Tahoma"/>
            <family val="2"/>
          </rPr>
          <t>Tejjas Kumar:</t>
        </r>
        <r>
          <rPr>
            <sz val="9"/>
            <color indexed="81"/>
            <rFont val="Tahoma"/>
            <family val="2"/>
          </rPr>
          <t xml:space="preserve">
There are two (main) methods
</t>
        </r>
      </text>
    </comment>
  </commentList>
</comments>
</file>

<file path=xl/sharedStrings.xml><?xml version="1.0" encoding="utf-8"?>
<sst xmlns="http://schemas.openxmlformats.org/spreadsheetml/2006/main" count="649" uniqueCount="163">
  <si>
    <t>Purchase Price</t>
  </si>
  <si>
    <t>EBITDA Multiples</t>
  </si>
  <si>
    <t>Entry EV/EBITDA</t>
  </si>
  <si>
    <t>Exit EV/EBITDA</t>
  </si>
  <si>
    <t>LTM EBITDA</t>
  </si>
  <si>
    <t>Enterprise and Equity Offer Value</t>
  </si>
  <si>
    <t>Enterprise Value Offer</t>
  </si>
  <si>
    <t>Cash and Equivalents</t>
  </si>
  <si>
    <t>Total Debt</t>
  </si>
  <si>
    <t>Net Debt</t>
  </si>
  <si>
    <t>Implied Equity Offer Value</t>
  </si>
  <si>
    <t>Sources and Uses of Cash</t>
  </si>
  <si>
    <t>Sources</t>
  </si>
  <si>
    <t>Debt</t>
  </si>
  <si>
    <t>Term Loan (Debt)</t>
  </si>
  <si>
    <t>Equity Contribution</t>
  </si>
  <si>
    <t>Amount</t>
  </si>
  <si>
    <t>Multiple</t>
  </si>
  <si>
    <t>Uses</t>
  </si>
  <si>
    <t>Equity Offer Value</t>
  </si>
  <si>
    <t>Debt Refinancing</t>
  </si>
  <si>
    <t>Total Uses</t>
  </si>
  <si>
    <t>Total Sources</t>
  </si>
  <si>
    <t>Operating Assumptions</t>
  </si>
  <si>
    <t>Income Statement</t>
  </si>
  <si>
    <t>Revenue Growth Rate</t>
  </si>
  <si>
    <t>EBITDA Margin</t>
  </si>
  <si>
    <t>D&amp;A Margin</t>
  </si>
  <si>
    <t>Interest Rate</t>
  </si>
  <si>
    <t>CapEx Margin</t>
  </si>
  <si>
    <t>All values GBP millions unless stated</t>
  </si>
  <si>
    <t>Revenue</t>
  </si>
  <si>
    <t>Growth Rate</t>
  </si>
  <si>
    <t>EBITDA</t>
  </si>
  <si>
    <t>Margin (%)</t>
  </si>
  <si>
    <t>D&amp;A</t>
  </si>
  <si>
    <t>Tax Rate</t>
  </si>
  <si>
    <t>EBIT</t>
  </si>
  <si>
    <t>Returns</t>
  </si>
  <si>
    <t>IRR</t>
  </si>
  <si>
    <t>MOIC</t>
  </si>
  <si>
    <t>Taxes</t>
  </si>
  <si>
    <t>Tax Rate (%)</t>
  </si>
  <si>
    <t>Interest Expense</t>
  </si>
  <si>
    <t>EBT</t>
  </si>
  <si>
    <t>Net Income</t>
  </si>
  <si>
    <t>NWC (% of Sales)</t>
  </si>
  <si>
    <t>NWC</t>
  </si>
  <si>
    <t>CapEx</t>
  </si>
  <si>
    <t>Cash Flows</t>
  </si>
  <si>
    <t>Debt Balance</t>
  </si>
  <si>
    <t>Closing Debt Balance</t>
  </si>
  <si>
    <t>Cumulative LFCF</t>
  </si>
  <si>
    <t>Cash Flow Schedule</t>
  </si>
  <si>
    <t>Cash From NWC</t>
  </si>
  <si>
    <t>Supporting Schedules</t>
  </si>
  <si>
    <t>Levered Free Cash Flow</t>
  </si>
  <si>
    <t>Interest Expenses</t>
  </si>
  <si>
    <t>Return Calculations and Analysis</t>
  </si>
  <si>
    <t>Return Attributions Analysis</t>
  </si>
  <si>
    <t>EBITDA Growth</t>
  </si>
  <si>
    <t>Multiple Expansion</t>
  </si>
  <si>
    <t>Debt Paydown</t>
  </si>
  <si>
    <t>Returns to Equity</t>
  </si>
  <si>
    <t>Exit Calculations</t>
  </si>
  <si>
    <t>Exit Multiple</t>
  </si>
  <si>
    <t>Final Year EBITDA</t>
  </si>
  <si>
    <t>Exit Enterprise Value</t>
  </si>
  <si>
    <t>Net Debt at Exit</t>
  </si>
  <si>
    <t>Exit Equity Value</t>
  </si>
  <si>
    <t>Check</t>
  </si>
  <si>
    <t>IRR and MOIC (MoM)</t>
  </si>
  <si>
    <t>Entry Equity Value</t>
  </si>
  <si>
    <t>Years</t>
  </si>
  <si>
    <t xml:space="preserve"> </t>
  </si>
  <si>
    <t>Returns and Return Attribution Analysis</t>
  </si>
  <si>
    <t>Simple LBO Model - Acquisition of the Lemonade Stand</t>
  </si>
  <si>
    <t>Share price</t>
  </si>
  <si>
    <t>Number of shares outstanding</t>
  </si>
  <si>
    <t>Short term debt</t>
  </si>
  <si>
    <t>Long term debt</t>
  </si>
  <si>
    <t>Cash</t>
  </si>
  <si>
    <t>Q1. Using the information below, calculate Kastali Inc's enterprise value.</t>
  </si>
  <si>
    <t>Enterprise value</t>
  </si>
  <si>
    <t>Q2. Using the information below, calculate a share price for Rompy Ltd.</t>
  </si>
  <si>
    <t>Lease liabilities</t>
  </si>
  <si>
    <t>Short term investments</t>
  </si>
  <si>
    <t>What is the House Worth?</t>
  </si>
  <si>
    <t>LBO Case Study - Lemon Grove Ltd</t>
  </si>
  <si>
    <t>Sources of Cash</t>
  </si>
  <si>
    <t>Uses of Cash</t>
  </si>
  <si>
    <t>Growth Rate (%)</t>
  </si>
  <si>
    <t>?</t>
  </si>
  <si>
    <t>Return Calculations</t>
  </si>
  <si>
    <t>Return Attribution Analysis</t>
  </si>
  <si>
    <t>Sponsor Equity</t>
  </si>
  <si>
    <t xml:space="preserve">Equity Offer </t>
  </si>
  <si>
    <t>Total</t>
  </si>
  <si>
    <t>Implied Enterprise Value</t>
  </si>
  <si>
    <t>Cash &amp; Equivalents</t>
  </si>
  <si>
    <t>Interest Rate on Debt</t>
  </si>
  <si>
    <t>Change in NWC</t>
  </si>
  <si>
    <t>Ending EV</t>
  </si>
  <si>
    <t>Entry Equity Investment</t>
  </si>
  <si>
    <t>Target Cash</t>
  </si>
  <si>
    <t>2 Methods:</t>
  </si>
  <si>
    <t>2) Net Income + D&amp;A - CapEx - Increase in NWC</t>
  </si>
  <si>
    <t>From Fuji Soft Research Report:</t>
  </si>
  <si>
    <t>All figures in JPY millions unless stated</t>
  </si>
  <si>
    <t>Cash From Operations</t>
  </si>
  <si>
    <t>PIK Interest</t>
  </si>
  <si>
    <t>Cash from NWC</t>
  </si>
  <si>
    <t>Depreciation &amp; Amortisation</t>
  </si>
  <si>
    <t>Net Cash From Operations</t>
  </si>
  <si>
    <t>Debt Schedule : Part 2 (Revolving Credit Line)</t>
  </si>
  <si>
    <t>Revolving Credit Line</t>
  </si>
  <si>
    <t>Opening Cash Balance</t>
  </si>
  <si>
    <t>Period Adjustment</t>
  </si>
  <si>
    <t>Cash from Operations</t>
  </si>
  <si>
    <t>Cash from Investing</t>
  </si>
  <si>
    <t>Mandatory Debt Issuance / (Repayment)</t>
  </si>
  <si>
    <t>Equity Issuance / (Repurchase)</t>
  </si>
  <si>
    <t>Payment of Dividends</t>
  </si>
  <si>
    <t>Minimum Cash Balance</t>
  </si>
  <si>
    <t>Cash Available / (Required) for Revolving Credit Line</t>
  </si>
  <si>
    <t>We want to get to Levered Free Cash Flow</t>
  </si>
  <si>
    <t>Ending Debt Balance</t>
  </si>
  <si>
    <t>3. Net Working Capital</t>
  </si>
  <si>
    <t>There are more Complex forms, but we will cover that in the next session</t>
  </si>
  <si>
    <t>-WSO</t>
  </si>
  <si>
    <t>1. Capital Expenditures</t>
  </si>
  <si>
    <t>2. Depreciation and Amortisation</t>
  </si>
  <si>
    <t>COGS</t>
  </si>
  <si>
    <t>All figures in GBP millions unless stated</t>
  </si>
  <si>
    <t>CapEx Margin (% of sales)</t>
  </si>
  <si>
    <t>D&amp;A Margin (% of Sales)</t>
  </si>
  <si>
    <t>Accounts Receivable</t>
  </si>
  <si>
    <t>Inventory</t>
  </si>
  <si>
    <t>Accounts Payable</t>
  </si>
  <si>
    <t>Days in Period</t>
  </si>
  <si>
    <t>Accrued Expenses</t>
  </si>
  <si>
    <t>Prepayments</t>
  </si>
  <si>
    <t>(days)</t>
  </si>
  <si>
    <t>(% of sales)</t>
  </si>
  <si>
    <t>Net Working Capital (NWC) is the difference between a company’s current operating assets (like accounts receivable and inventory) and its current operating liabilities (like accounts payable). It measures the cash tied up in day-to-day operations.</t>
  </si>
  <si>
    <t>Amounts</t>
  </si>
  <si>
    <t>Projections</t>
  </si>
  <si>
    <t>4. Levered Free Cash Flow</t>
  </si>
  <si>
    <t>Current Assets</t>
  </si>
  <si>
    <t>Current Liabilities</t>
  </si>
  <si>
    <t>Net Working Capital</t>
  </si>
  <si>
    <t>1) EBITDA - CapEx - Cash Interest - Cash Taxes - Increase in NWC</t>
  </si>
  <si>
    <t>Assume that below, we have a stable business with a cost structure that is unlikely to change. We also assume that we have no reason to expect the working capital needs to change in any particular direction in the forecast period</t>
  </si>
  <si>
    <t>Enterprise Value = Equity Value + Net Debt</t>
  </si>
  <si>
    <t>Q3. Using Mix-Up's information below, calculate the company's enterprise value.</t>
  </si>
  <si>
    <t>Enterprise Value</t>
  </si>
  <si>
    <t>Refinancing Debt</t>
  </si>
  <si>
    <t>Exit Multiple (EV/EBITDA)</t>
  </si>
  <si>
    <t>Equity Value</t>
  </si>
  <si>
    <t>Shares Outstanding</t>
  </si>
  <si>
    <t>Share Price</t>
  </si>
  <si>
    <t>Cash &amp; ST Investments</t>
  </si>
  <si>
    <t>Equity Value = Enterprise Value - Net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</si>
</sst>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0.0\x_);\(0.0\x\);&quot;-&quot;"/>
    <numFmt numFmtId="165" formatCode="_(0.0\x;\(0.0\x\);&quot;-&quot;"/>
    <numFmt numFmtId="166" formatCode="&quot;Year&quot;\ 0"/>
    <numFmt numFmtId="167" formatCode="0.0%"/>
    <numFmt numFmtId="168" formatCode="_(#,##0_);\(#,##0\);&quot;-&quot;"/>
    <numFmt numFmtId="169" formatCode="_(0.0%_);\(0.0%\);&quot;-&quot;"/>
    <numFmt numFmtId="170" formatCode="_(0_);\(0\);&quot;-&quot;"/>
    <numFmt numFmtId="171" formatCode="#,##0.0_);\(#,##0.0\);0.0_);@_)"/>
    <numFmt numFmtId="172" formatCode="&quot;$&quot;#,##0.00_);\(&quot;$&quot;#,##0.00\)"/>
    <numFmt numFmtId="173" formatCode="#,##0.000_);\(#,##0.000\)"/>
    <numFmt numFmtId="174" formatCode="&quot;$&quot;#,##0.0_);\(&quot;$&quot;#,##0.0\)"/>
    <numFmt numFmtId="175" formatCode="#,##0.00_);\(#,##0.00\);0.00_);@_)"/>
    <numFmt numFmtId="176" formatCode="\€#,##0.0_);\(\€#,##0.0\);\€0.0_);@_)"/>
    <numFmt numFmtId="177" formatCode="#,##0_);\(#,##0\);0_);@_)"/>
    <numFmt numFmtId="178" formatCode="\£#,##0.0_);\(\£#,##0.0\);\£0.0_);@_)"/>
    <numFmt numFmtId="179" formatCode="\£#,##0.00_);\(\£#,##0.00\);\£0.00_);@_)"/>
    <numFmt numFmtId="180" formatCode="&quot;Year&quot;\ 0\ "/>
    <numFmt numFmtId="181" formatCode="0&quot;E&quot;"/>
    <numFmt numFmtId="182" formatCode="_(#,##0_);\(#,##0\);_(&quot;–&quot;_);_(@_)"/>
    <numFmt numFmtId="183" formatCode="0&quot;A&quot;"/>
    <numFmt numFmtId="184" formatCode="#,##0.0"/>
    <numFmt numFmtId="185" formatCode="_(0.0%_)"/>
    <numFmt numFmtId="186" formatCode="0.0\x"/>
  </numFmts>
  <fonts count="39" x14ac:knownFonts="1">
    <font>
      <sz val="11"/>
      <color theme="1"/>
      <name val="Aptos Narrow"/>
      <family val="2"/>
      <scheme val="minor"/>
    </font>
    <font>
      <sz val="11"/>
      <color rgb="FF3F3F76"/>
      <name val="Calibri"/>
      <family val="2"/>
    </font>
    <font>
      <b/>
      <sz val="11"/>
      <color theme="1"/>
      <name val="Aptos Narrow"/>
      <family val="2"/>
      <scheme val="minor"/>
    </font>
    <font>
      <b/>
      <sz val="14"/>
      <color theme="1"/>
      <name val="Aptos Narrow"/>
      <family val="2"/>
      <scheme val="minor"/>
    </font>
    <font>
      <b/>
      <sz val="14"/>
      <color rgb="FF0070C0"/>
      <name val="Aptos Narrow"/>
      <family val="2"/>
      <scheme val="minor"/>
    </font>
    <font>
      <sz val="11"/>
      <color rgb="FF0070C0"/>
      <name val="Aptos Narrow"/>
      <family val="2"/>
      <scheme val="minor"/>
    </font>
    <font>
      <sz val="9"/>
      <color indexed="81"/>
      <name val="Tahoma"/>
      <family val="2"/>
    </font>
    <font>
      <b/>
      <sz val="9"/>
      <color indexed="81"/>
      <name val="Tahoma"/>
      <family val="2"/>
    </font>
    <font>
      <sz val="11"/>
      <name val="Aptos Narrow"/>
      <family val="2"/>
      <scheme val="minor"/>
    </font>
    <font>
      <i/>
      <sz val="11"/>
      <color theme="1"/>
      <name val="Aptos Narrow"/>
      <family val="2"/>
      <scheme val="minor"/>
    </font>
    <font>
      <i/>
      <sz val="9"/>
      <color theme="1"/>
      <name val="Aptos Narrow"/>
      <family val="2"/>
      <scheme val="minor"/>
    </font>
    <font>
      <b/>
      <i/>
      <sz val="11"/>
      <color theme="1"/>
      <name val="Aptos Narrow"/>
      <family val="2"/>
      <scheme val="minor"/>
    </font>
    <font>
      <b/>
      <sz val="11"/>
      <color rgb="FF0070C0"/>
      <name val="Aptos Narrow"/>
      <family val="2"/>
      <scheme val="minor"/>
    </font>
    <font>
      <b/>
      <sz val="11"/>
      <name val="Aptos Narrow"/>
      <family val="2"/>
      <scheme val="minor"/>
    </font>
    <font>
      <b/>
      <sz val="13"/>
      <color theme="1"/>
      <name val="Aptos Narrow"/>
      <family val="2"/>
      <scheme val="minor"/>
    </font>
    <font>
      <i/>
      <sz val="8"/>
      <color theme="1"/>
      <name val="Aptos Narrow"/>
      <family val="2"/>
      <scheme val="minor"/>
    </font>
    <font>
      <sz val="10"/>
      <name val="Arial"/>
      <family val="2"/>
    </font>
    <font>
      <b/>
      <sz val="10"/>
      <name val="Arial"/>
      <family val="2"/>
    </font>
    <font>
      <sz val="10"/>
      <color rgb="FF0000FF"/>
      <name val="Arial"/>
      <family val="2"/>
    </font>
    <font>
      <sz val="11"/>
      <color rgb="FF0070C0"/>
      <name val="Calibri"/>
      <family val="2"/>
    </font>
    <font>
      <sz val="10"/>
      <color rgb="FF0070C0"/>
      <name val="Arial"/>
      <family val="2"/>
    </font>
    <font>
      <sz val="14"/>
      <color theme="1"/>
      <name val="Aptos Narrow"/>
      <family val="2"/>
      <scheme val="minor"/>
    </font>
    <font>
      <b/>
      <sz val="16"/>
      <color rgb="FF0070C0"/>
      <name val="Aptos Narrow"/>
      <family val="2"/>
      <scheme val="minor"/>
    </font>
    <font>
      <b/>
      <sz val="14"/>
      <color rgb="FF0070C0"/>
      <name val="Aptos"/>
      <family val="2"/>
    </font>
    <font>
      <sz val="11"/>
      <color theme="1"/>
      <name val="Aptos"/>
      <family val="2"/>
    </font>
    <font>
      <i/>
      <sz val="9"/>
      <color theme="1"/>
      <name val="Aptos"/>
      <family val="2"/>
    </font>
    <font>
      <b/>
      <sz val="11"/>
      <color theme="1"/>
      <name val="Aptos"/>
      <family val="2"/>
    </font>
    <font>
      <b/>
      <sz val="11"/>
      <color rgb="FF0070C0"/>
      <name val="Aptos"/>
      <family val="2"/>
    </font>
    <font>
      <b/>
      <sz val="11"/>
      <color rgb="FFFF0000"/>
      <name val="Aptos"/>
      <family val="2"/>
    </font>
    <font>
      <b/>
      <sz val="12"/>
      <color theme="1"/>
      <name val="Aptos"/>
      <family val="2"/>
    </font>
    <font>
      <sz val="11"/>
      <color rgb="FF00B050"/>
      <name val="Aptos"/>
      <family val="2"/>
    </font>
    <font>
      <sz val="11"/>
      <name val="Aptos"/>
      <family val="2"/>
    </font>
    <font>
      <b/>
      <sz val="14"/>
      <name val="Aptos"/>
      <family val="2"/>
    </font>
    <font>
      <b/>
      <sz val="11"/>
      <name val="Aptos"/>
      <family val="2"/>
    </font>
    <font>
      <sz val="11"/>
      <color rgb="FF0070C0"/>
      <name val="Aptos"/>
      <family val="2"/>
    </font>
    <font>
      <i/>
      <sz val="10"/>
      <color theme="1"/>
      <name val="Aptos Narrow"/>
      <family val="2"/>
      <scheme val="minor"/>
    </font>
    <font>
      <sz val="12"/>
      <color rgb="FFFF0000"/>
      <name val="Aptos Narrow"/>
      <family val="2"/>
      <scheme val="minor"/>
    </font>
    <font>
      <sz val="20"/>
      <color rgb="FFFF0000"/>
      <name val="Aptos Narrow"/>
      <family val="2"/>
      <scheme val="minor"/>
    </font>
    <font>
      <sz val="20"/>
      <color theme="1"/>
      <name val="Aptos Narrow"/>
      <family val="2"/>
      <scheme val="minor"/>
    </font>
  </fonts>
  <fills count="5">
    <fill>
      <patternFill patternType="none"/>
    </fill>
    <fill>
      <patternFill patternType="gray125"/>
    </fill>
    <fill>
      <patternFill patternType="solid">
        <fgColor rgb="FFFFCC99"/>
      </patternFill>
    </fill>
    <fill>
      <patternFill patternType="solid">
        <fgColor theme="2"/>
        <bgColor indexed="64"/>
      </patternFill>
    </fill>
    <fill>
      <patternFill patternType="solid">
        <fgColor theme="0" tint="-4.9989318521683403E-2"/>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right/>
      <top style="thin">
        <color rgb="FF0070C0"/>
      </top>
      <bottom style="medium">
        <color rgb="FF0070C0"/>
      </bottom>
      <diagonal/>
    </border>
    <border>
      <left/>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dotted">
        <color auto="1"/>
      </right>
      <top style="dotted">
        <color auto="1"/>
      </top>
      <bottom style="dotted">
        <color auto="1"/>
      </bottom>
      <diagonal/>
    </border>
    <border>
      <left style="dotted">
        <color indexed="64"/>
      </left>
      <right/>
      <top style="dotted">
        <color indexed="64"/>
      </top>
      <bottom style="dotted">
        <color indexed="64"/>
      </bottom>
      <diagonal/>
    </border>
  </borders>
  <cellStyleXfs count="5">
    <xf numFmtId="0" fontId="0" fillId="0" borderId="0"/>
    <xf numFmtId="0" fontId="1" fillId="2" borderId="1" applyNumberFormat="0" applyAlignment="0" applyProtection="0"/>
    <xf numFmtId="171" fontId="16" fillId="0" borderId="0"/>
    <xf numFmtId="176" fontId="18" fillId="0" borderId="3"/>
    <xf numFmtId="178" fontId="18" fillId="0" borderId="3"/>
  </cellStyleXfs>
  <cellXfs count="141">
    <xf numFmtId="0" fontId="0" fillId="0" borderId="0" xfId="0"/>
    <xf numFmtId="0" fontId="2" fillId="0" borderId="0" xfId="0" applyFont="1"/>
    <xf numFmtId="0" fontId="4" fillId="3" borderId="0" xfId="0" applyFont="1" applyFill="1"/>
    <xf numFmtId="0" fontId="2" fillId="0" borderId="2" xfId="0" applyFont="1" applyBorder="1"/>
    <xf numFmtId="0" fontId="0" fillId="0" borderId="2" xfId="0" applyBorder="1"/>
    <xf numFmtId="164" fontId="0" fillId="0" borderId="0" xfId="0" applyNumberFormat="1"/>
    <xf numFmtId="3" fontId="5" fillId="0" borderId="0" xfId="0" applyNumberFormat="1" applyFont="1"/>
    <xf numFmtId="165" fontId="0" fillId="0" borderId="0" xfId="0" applyNumberFormat="1"/>
    <xf numFmtId="165" fontId="5" fillId="0" borderId="0" xfId="0" applyNumberFormat="1" applyFont="1"/>
    <xf numFmtId="0" fontId="0" fillId="0" borderId="0" xfId="0" applyAlignment="1">
      <alignment horizontal="left" indent="1"/>
    </xf>
    <xf numFmtId="3" fontId="0" fillId="0" borderId="0" xfId="0" applyNumberFormat="1"/>
    <xf numFmtId="3" fontId="2" fillId="0" borderId="0" xfId="0" applyNumberFormat="1" applyFont="1"/>
    <xf numFmtId="3" fontId="2" fillId="0" borderId="2" xfId="0" applyNumberFormat="1" applyFont="1" applyBorder="1"/>
    <xf numFmtId="3" fontId="0" fillId="0" borderId="2" xfId="0" applyNumberFormat="1" applyBorder="1"/>
    <xf numFmtId="165" fontId="8" fillId="0" borderId="2" xfId="0" applyNumberFormat="1" applyFont="1" applyBorder="1"/>
    <xf numFmtId="0" fontId="9" fillId="0" borderId="0" xfId="0" applyFont="1"/>
    <xf numFmtId="0" fontId="10" fillId="0" borderId="0" xfId="0" applyFont="1"/>
    <xf numFmtId="166" fontId="5" fillId="0" borderId="0" xfId="0" applyNumberFormat="1" applyFont="1"/>
    <xf numFmtId="166" fontId="8" fillId="0" borderId="0" xfId="0" applyNumberFormat="1" applyFont="1"/>
    <xf numFmtId="3" fontId="8" fillId="0" borderId="0" xfId="0" applyNumberFormat="1" applyFont="1"/>
    <xf numFmtId="9" fontId="9" fillId="0" borderId="0" xfId="0" applyNumberFormat="1" applyFont="1"/>
    <xf numFmtId="167" fontId="5" fillId="0" borderId="0" xfId="0" applyNumberFormat="1" applyFont="1"/>
    <xf numFmtId="167" fontId="0" fillId="0" borderId="0" xfId="0" applyNumberFormat="1"/>
    <xf numFmtId="168" fontId="5" fillId="0" borderId="0" xfId="0" applyNumberFormat="1" applyFont="1"/>
    <xf numFmtId="168" fontId="8" fillId="0" borderId="0" xfId="0" applyNumberFormat="1" applyFont="1"/>
    <xf numFmtId="169" fontId="0" fillId="0" borderId="0" xfId="0" applyNumberFormat="1"/>
    <xf numFmtId="169" fontId="9" fillId="0" borderId="0" xfId="0" applyNumberFormat="1" applyFont="1"/>
    <xf numFmtId="168" fontId="0" fillId="0" borderId="0" xfId="0" applyNumberFormat="1"/>
    <xf numFmtId="168" fontId="2" fillId="0" borderId="0" xfId="0" applyNumberFormat="1" applyFont="1"/>
    <xf numFmtId="168" fontId="2" fillId="0" borderId="2" xfId="0" applyNumberFormat="1" applyFont="1" applyBorder="1"/>
    <xf numFmtId="168" fontId="12" fillId="0" borderId="2" xfId="0" applyNumberFormat="1" applyFont="1" applyBorder="1"/>
    <xf numFmtId="168" fontId="13" fillId="0" borderId="2" xfId="0" applyNumberFormat="1" applyFont="1" applyBorder="1"/>
    <xf numFmtId="0" fontId="0" fillId="0" borderId="2" xfId="0" applyBorder="1" applyAlignment="1">
      <alignment horizontal="right"/>
    </xf>
    <xf numFmtId="0" fontId="3" fillId="0" borderId="2" xfId="0" applyFont="1" applyBorder="1"/>
    <xf numFmtId="0" fontId="14" fillId="0" borderId="2" xfId="0" applyFont="1" applyBorder="1"/>
    <xf numFmtId="168" fontId="0" fillId="0" borderId="2" xfId="0" applyNumberFormat="1" applyBorder="1"/>
    <xf numFmtId="169" fontId="9" fillId="0" borderId="2" xfId="0" applyNumberFormat="1" applyFont="1" applyBorder="1"/>
    <xf numFmtId="169" fontId="11" fillId="0" borderId="0" xfId="0" applyNumberFormat="1" applyFont="1"/>
    <xf numFmtId="0" fontId="15" fillId="0" borderId="0" xfId="0" applyFont="1"/>
    <xf numFmtId="170" fontId="0" fillId="0" borderId="0" xfId="0" applyNumberFormat="1"/>
    <xf numFmtId="0" fontId="2" fillId="0" borderId="4" xfId="0" applyFont="1" applyBorder="1"/>
    <xf numFmtId="0" fontId="0" fillId="0" borderId="5" xfId="0" applyBorder="1"/>
    <xf numFmtId="169" fontId="2" fillId="0" borderId="6" xfId="0" applyNumberFormat="1" applyFont="1" applyBorder="1"/>
    <xf numFmtId="0" fontId="2" fillId="0" borderId="7" xfId="0" applyFont="1" applyBorder="1"/>
    <xf numFmtId="0" fontId="0" fillId="0" borderId="8" xfId="0" applyBorder="1"/>
    <xf numFmtId="164" fontId="2" fillId="0" borderId="9" xfId="0" applyNumberFormat="1" applyFont="1" applyBorder="1"/>
    <xf numFmtId="171" fontId="17" fillId="0" borderId="0" xfId="2" applyFont="1"/>
    <xf numFmtId="171" fontId="16" fillId="0" borderId="0" xfId="2"/>
    <xf numFmtId="175" fontId="16" fillId="0" borderId="0" xfId="2" applyNumberFormat="1"/>
    <xf numFmtId="173" fontId="19" fillId="0" borderId="1" xfId="1" applyNumberFormat="1" applyFont="1" applyFill="1"/>
    <xf numFmtId="178" fontId="20" fillId="0" borderId="3" xfId="4" applyFont="1"/>
    <xf numFmtId="179" fontId="20" fillId="0" borderId="3" xfId="4" applyNumberFormat="1" applyFont="1"/>
    <xf numFmtId="176" fontId="20" fillId="0" borderId="3" xfId="3" applyFont="1"/>
    <xf numFmtId="177" fontId="20" fillId="0" borderId="3" xfId="3" applyNumberFormat="1" applyFont="1"/>
    <xf numFmtId="172" fontId="20" fillId="0" borderId="3" xfId="1" applyNumberFormat="1" applyFont="1" applyFill="1" applyBorder="1"/>
    <xf numFmtId="173" fontId="20" fillId="0" borderId="3" xfId="1" applyNumberFormat="1" applyFont="1" applyFill="1" applyBorder="1"/>
    <xf numFmtId="174" fontId="20" fillId="0" borderId="3" xfId="1" applyNumberFormat="1" applyFont="1" applyFill="1" applyBorder="1"/>
    <xf numFmtId="0" fontId="21" fillId="0" borderId="0" xfId="0" applyFont="1"/>
    <xf numFmtId="0" fontId="2" fillId="0" borderId="2" xfId="0" applyFont="1" applyBorder="1" applyAlignment="1">
      <alignment horizontal="right"/>
    </xf>
    <xf numFmtId="0" fontId="22" fillId="3" borderId="0" xfId="0" applyFont="1" applyFill="1"/>
    <xf numFmtId="180" fontId="5" fillId="0" borderId="0" xfId="0" applyNumberFormat="1" applyFont="1"/>
    <xf numFmtId="180" fontId="0" fillId="0" borderId="0" xfId="0" applyNumberFormat="1"/>
    <xf numFmtId="0" fontId="0" fillId="0" borderId="10" xfId="0" applyBorder="1" applyAlignment="1">
      <alignment horizontal="center"/>
    </xf>
    <xf numFmtId="0" fontId="21" fillId="0" borderId="2" xfId="0" applyFont="1" applyBorder="1"/>
    <xf numFmtId="0" fontId="0" fillId="0" borderId="6" xfId="0" applyBorder="1"/>
    <xf numFmtId="0" fontId="0" fillId="0" borderId="9" xfId="0" applyBorder="1"/>
    <xf numFmtId="169" fontId="5" fillId="0" borderId="0" xfId="0" applyNumberFormat="1" applyFont="1"/>
    <xf numFmtId="3" fontId="13" fillId="0" borderId="2" xfId="0" applyNumberFormat="1" applyFont="1" applyBorder="1"/>
    <xf numFmtId="164" fontId="8" fillId="0" borderId="0" xfId="0" applyNumberFormat="1" applyFont="1"/>
    <xf numFmtId="164" fontId="8" fillId="0" borderId="2" xfId="0" applyNumberFormat="1" applyFont="1" applyBorder="1"/>
    <xf numFmtId="169" fontId="5" fillId="0" borderId="11" xfId="0" applyNumberFormat="1" applyFont="1" applyBorder="1" applyAlignment="1">
      <alignment horizontal="center"/>
    </xf>
    <xf numFmtId="165" fontId="8" fillId="0" borderId="0" xfId="0" applyNumberFormat="1" applyFont="1"/>
    <xf numFmtId="0" fontId="23" fillId="4" borderId="0" xfId="0" applyFont="1" applyFill="1"/>
    <xf numFmtId="0" fontId="24" fillId="0" borderId="0" xfId="0" applyFont="1"/>
    <xf numFmtId="0" fontId="26" fillId="0" borderId="0" xfId="0" applyFont="1"/>
    <xf numFmtId="0" fontId="27" fillId="4" borderId="0" xfId="0" applyFont="1" applyFill="1"/>
    <xf numFmtId="181" fontId="26" fillId="0" borderId="12" xfId="0" applyNumberFormat="1" applyFont="1" applyBorder="1"/>
    <xf numFmtId="182" fontId="24" fillId="0" borderId="0" xfId="0" applyNumberFormat="1" applyFont="1"/>
    <xf numFmtId="182" fontId="24" fillId="0" borderId="2" xfId="0" applyNumberFormat="1" applyFont="1" applyBorder="1"/>
    <xf numFmtId="182" fontId="26" fillId="0" borderId="0" xfId="0" applyNumberFormat="1" applyFont="1"/>
    <xf numFmtId="181" fontId="28" fillId="0" borderId="12" xfId="0" applyNumberFormat="1" applyFont="1" applyBorder="1"/>
    <xf numFmtId="0" fontId="26" fillId="0" borderId="0" xfId="0" applyFont="1" applyAlignment="1">
      <alignment horizontal="center"/>
    </xf>
    <xf numFmtId="182" fontId="30" fillId="0" borderId="0" xfId="0" applyNumberFormat="1" applyFont="1"/>
    <xf numFmtId="9" fontId="27" fillId="0" borderId="0" xfId="0" applyNumberFormat="1" applyFont="1" applyAlignment="1">
      <alignment horizontal="center"/>
    </xf>
    <xf numFmtId="182" fontId="31" fillId="0" borderId="0" xfId="0" applyNumberFormat="1" applyFont="1"/>
    <xf numFmtId="182" fontId="30" fillId="0" borderId="2" xfId="0" applyNumberFormat="1" applyFont="1" applyBorder="1"/>
    <xf numFmtId="169" fontId="9" fillId="0" borderId="13" xfId="0" applyNumberFormat="1" applyFont="1" applyBorder="1"/>
    <xf numFmtId="0" fontId="23" fillId="0" borderId="0" xfId="0" applyFont="1"/>
    <xf numFmtId="0" fontId="0" fillId="0" borderId="0" xfId="0" quotePrefix="1"/>
    <xf numFmtId="0" fontId="27" fillId="0" borderId="0" xfId="0" applyFont="1"/>
    <xf numFmtId="0" fontId="32" fillId="0" borderId="0" xfId="0" applyFont="1"/>
    <xf numFmtId="0" fontId="33" fillId="0" borderId="0" xfId="0" applyFont="1"/>
    <xf numFmtId="0" fontId="25" fillId="0" borderId="0" xfId="0" applyFont="1" applyAlignment="1">
      <alignment horizontal="left" indent="1"/>
    </xf>
    <xf numFmtId="0" fontId="24" fillId="0" borderId="0" xfId="0" applyFont="1" applyAlignment="1">
      <alignment horizontal="left" indent="1"/>
    </xf>
    <xf numFmtId="183" fontId="5" fillId="0" borderId="2" xfId="0" applyNumberFormat="1" applyFont="1" applyBorder="1"/>
    <xf numFmtId="181" fontId="0" fillId="0" borderId="2" xfId="0" applyNumberFormat="1" applyBorder="1"/>
    <xf numFmtId="182" fontId="34" fillId="0" borderId="0" xfId="0" applyNumberFormat="1" applyFont="1"/>
    <xf numFmtId="182" fontId="0" fillId="0" borderId="0" xfId="0" applyNumberFormat="1"/>
    <xf numFmtId="0" fontId="35" fillId="0" borderId="0" xfId="0" applyFont="1" applyAlignment="1">
      <alignment horizontal="left"/>
    </xf>
    <xf numFmtId="182" fontId="5" fillId="0" borderId="0" xfId="0" applyNumberFormat="1" applyFont="1"/>
    <xf numFmtId="169" fontId="0" fillId="0" borderId="17" xfId="0" applyNumberFormat="1" applyBorder="1"/>
    <xf numFmtId="169" fontId="0" fillId="0" borderId="19" xfId="0" applyNumberFormat="1" applyBorder="1"/>
    <xf numFmtId="169" fontId="0" fillId="0" borderId="20" xfId="0" applyNumberFormat="1" applyBorder="1"/>
    <xf numFmtId="169" fontId="0" fillId="0" borderId="18" xfId="0" applyNumberFormat="1" applyBorder="1"/>
    <xf numFmtId="169" fontId="0" fillId="0" borderId="21" xfId="0" applyNumberFormat="1" applyBorder="1"/>
    <xf numFmtId="183" fontId="5" fillId="0" borderId="0" xfId="0" applyNumberFormat="1" applyFont="1"/>
    <xf numFmtId="181" fontId="0" fillId="0" borderId="0" xfId="0" applyNumberFormat="1"/>
    <xf numFmtId="182" fontId="8" fillId="0" borderId="0" xfId="0" applyNumberFormat="1" applyFont="1"/>
    <xf numFmtId="182" fontId="12" fillId="0" borderId="0" xfId="0" applyNumberFormat="1" applyFont="1"/>
    <xf numFmtId="0" fontId="36" fillId="0" borderId="0" xfId="0" applyFont="1"/>
    <xf numFmtId="0" fontId="23" fillId="0" borderId="0" xfId="0" applyFont="1" applyAlignment="1">
      <alignment horizontal="left" indent="1"/>
    </xf>
    <xf numFmtId="0" fontId="32" fillId="0" borderId="0" xfId="0" applyFont="1" applyAlignment="1">
      <alignment horizontal="left" indent="1"/>
    </xf>
    <xf numFmtId="0" fontId="25" fillId="0" borderId="0" xfId="0" applyFont="1" applyAlignment="1">
      <alignment horizontal="left" indent="2"/>
    </xf>
    <xf numFmtId="0" fontId="24" fillId="0" borderId="0" xfId="0" applyFont="1" applyAlignment="1">
      <alignment horizontal="left" indent="2"/>
    </xf>
    <xf numFmtId="0" fontId="26" fillId="0" borderId="0" xfId="0" applyFont="1" applyAlignment="1">
      <alignment horizontal="left" indent="2"/>
    </xf>
    <xf numFmtId="0" fontId="29" fillId="0" borderId="0" xfId="0" applyFont="1" applyAlignment="1">
      <alignment horizontal="left" indent="2"/>
    </xf>
    <xf numFmtId="0" fontId="2" fillId="0" borderId="0" xfId="0" applyFont="1" applyAlignment="1">
      <alignment horizontal="left" indent="1"/>
    </xf>
    <xf numFmtId="182" fontId="2" fillId="0" borderId="2" xfId="0" applyNumberFormat="1" applyFont="1" applyBorder="1"/>
    <xf numFmtId="168" fontId="0" fillId="0" borderId="14" xfId="0" applyNumberFormat="1" applyBorder="1"/>
    <xf numFmtId="168" fontId="0" fillId="0" borderId="15" xfId="0" applyNumberFormat="1" applyBorder="1"/>
    <xf numFmtId="168" fontId="0" fillId="0" borderId="16" xfId="0" applyNumberFormat="1" applyBorder="1"/>
    <xf numFmtId="168" fontId="0" fillId="0" borderId="17" xfId="0" applyNumberFormat="1" applyBorder="1"/>
    <xf numFmtId="168" fontId="0" fillId="0" borderId="18" xfId="0" applyNumberFormat="1" applyBorder="1"/>
    <xf numFmtId="169" fontId="0" fillId="0" borderId="0" xfId="0" applyNumberFormat="1" applyAlignment="1">
      <alignment horizontal="center"/>
    </xf>
    <xf numFmtId="0" fontId="0" fillId="0" borderId="23" xfId="0" applyBorder="1"/>
    <xf numFmtId="10" fontId="5" fillId="0" borderId="22" xfId="0" applyNumberFormat="1" applyFont="1" applyBorder="1"/>
    <xf numFmtId="0" fontId="37" fillId="3" borderId="0" xfId="0" applyFont="1" applyFill="1"/>
    <xf numFmtId="0" fontId="38" fillId="3" borderId="0" xfId="0" applyFont="1" applyFill="1"/>
    <xf numFmtId="169" fontId="31" fillId="0" borderId="0" xfId="0" applyNumberFormat="1" applyFont="1"/>
    <xf numFmtId="184" fontId="0" fillId="0" borderId="0" xfId="0" applyNumberFormat="1"/>
    <xf numFmtId="174" fontId="0" fillId="0" borderId="0" xfId="0" applyNumberFormat="1"/>
    <xf numFmtId="182" fontId="2" fillId="0" borderId="8" xfId="0" applyNumberFormat="1" applyFont="1" applyBorder="1"/>
    <xf numFmtId="182" fontId="13" fillId="0" borderId="2" xfId="0" applyNumberFormat="1" applyFont="1" applyBorder="1"/>
    <xf numFmtId="164" fontId="0" fillId="0" borderId="2" xfId="0" applyNumberFormat="1" applyBorder="1"/>
    <xf numFmtId="0" fontId="5" fillId="0" borderId="0" xfId="0" applyFont="1"/>
    <xf numFmtId="185" fontId="2" fillId="0" borderId="6" xfId="0" applyNumberFormat="1" applyFont="1" applyBorder="1"/>
    <xf numFmtId="186" fontId="2" fillId="0" borderId="9" xfId="0" applyNumberFormat="1" applyFont="1" applyBorder="1"/>
    <xf numFmtId="176" fontId="17" fillId="0" borderId="2" xfId="3" applyFont="1" applyBorder="1"/>
    <xf numFmtId="184" fontId="2" fillId="0" borderId="2" xfId="0" applyNumberFormat="1" applyFont="1" applyBorder="1"/>
    <xf numFmtId="0" fontId="0" fillId="0" borderId="0" xfId="0" applyAlignment="1">
      <alignment vertical="center" wrapText="1"/>
    </xf>
    <xf numFmtId="0" fontId="0" fillId="0" borderId="0" xfId="0" applyAlignment="1">
      <alignment wrapText="1"/>
    </xf>
  </cellXfs>
  <cellStyles count="5">
    <cellStyle name="EURO" xfId="3" xr:uid="{93B89712-0A5C-493D-85E8-8A09B9B8C225}"/>
    <cellStyle name="GBP" xfId="4" xr:uid="{293F5043-A886-440D-A49E-88AF06398991}"/>
    <cellStyle name="Input" xfId="1" builtinId="20"/>
    <cellStyle name="Normal" xfId="0" builtinId="0"/>
    <cellStyle name="Normal 2" xfId="2" xr:uid="{090D4540-FDB3-4982-9E96-6830EB45B5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jpeg"/><Relationship Id="rId7" Type="http://schemas.openxmlformats.org/officeDocument/2006/relationships/image" Target="../media/image8.pn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png"/><Relationship Id="rId4" Type="http://schemas.openxmlformats.org/officeDocument/2006/relationships/image" Target="../media/image5.jpe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1</xdr:row>
      <xdr:rowOff>31384</xdr:rowOff>
    </xdr:from>
    <xdr:to>
      <xdr:col>26</xdr:col>
      <xdr:colOff>553580</xdr:colOff>
      <xdr:row>13</xdr:row>
      <xdr:rowOff>0</xdr:rowOff>
    </xdr:to>
    <xdr:pic>
      <xdr:nvPicPr>
        <xdr:cNvPr id="2" name="Picture 1">
          <a:extLst>
            <a:ext uri="{FF2B5EF4-FFF2-40B4-BE49-F238E27FC236}">
              <a16:creationId xmlns:a16="http://schemas.microsoft.com/office/drawing/2014/main" id="{57FC2FFF-82F0-D15B-3FF1-ADFFE579E213}"/>
            </a:ext>
          </a:extLst>
        </xdr:cNvPr>
        <xdr:cNvPicPr>
          <a:picLocks noChangeAspect="1"/>
        </xdr:cNvPicPr>
      </xdr:nvPicPr>
      <xdr:blipFill>
        <a:blip xmlns:r="http://schemas.openxmlformats.org/officeDocument/2006/relationships" r:embed="rId1"/>
        <a:stretch>
          <a:fillRect/>
        </a:stretch>
      </xdr:blipFill>
      <xdr:spPr>
        <a:xfrm>
          <a:off x="8862060" y="214264"/>
          <a:ext cx="7259180" cy="22546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0</xdr:row>
      <xdr:rowOff>176984</xdr:rowOff>
    </xdr:from>
    <xdr:to>
      <xdr:col>10</xdr:col>
      <xdr:colOff>453449</xdr:colOff>
      <xdr:row>10</xdr:row>
      <xdr:rowOff>117231</xdr:rowOff>
    </xdr:to>
    <xdr:pic>
      <xdr:nvPicPr>
        <xdr:cNvPr id="2" name="Picture 1" descr="What Is Levered Free Cash Flow (LFCF) and How Is It Calculated?">
          <a:extLst>
            <a:ext uri="{FF2B5EF4-FFF2-40B4-BE49-F238E27FC236}">
              <a16:creationId xmlns:a16="http://schemas.microsoft.com/office/drawing/2014/main" id="{6F8EB1B8-6C00-0A92-B1BF-ABBCF97C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19" y="176984"/>
          <a:ext cx="2871334" cy="19185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158260</xdr:rowOff>
    </xdr:from>
    <xdr:to>
      <xdr:col>16</xdr:col>
      <xdr:colOff>473613</xdr:colOff>
      <xdr:row>10</xdr:row>
      <xdr:rowOff>117231</xdr:rowOff>
    </xdr:to>
    <xdr:pic>
      <xdr:nvPicPr>
        <xdr:cNvPr id="3" name="Picture 2" descr="Levered Free Cash Flow (LFCF) | Formula + Calculator">
          <a:extLst>
            <a:ext uri="{FF2B5EF4-FFF2-40B4-BE49-F238E27FC236}">
              <a16:creationId xmlns:a16="http://schemas.microsoft.com/office/drawing/2014/main" id="{1CFD9FA5-362B-5F72-77C9-ADB86AF63E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02365" y="158260"/>
          <a:ext cx="4503420" cy="193724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761156</xdr:colOff>
      <xdr:row>56</xdr:row>
      <xdr:rowOff>17577</xdr:rowOff>
    </xdr:from>
    <xdr:to>
      <xdr:col>20</xdr:col>
      <xdr:colOff>307731</xdr:colOff>
      <xdr:row>67</xdr:row>
      <xdr:rowOff>51288</xdr:rowOff>
    </xdr:to>
    <xdr:pic>
      <xdr:nvPicPr>
        <xdr:cNvPr id="4" name="Picture 3" descr="Understanding Depreciation, Depletion &amp; Amortization (DD&amp;A) Techniques">
          <a:extLst>
            <a:ext uri="{FF2B5EF4-FFF2-40B4-BE49-F238E27FC236}">
              <a16:creationId xmlns:a16="http://schemas.microsoft.com/office/drawing/2014/main" id="{64B3EBBC-E282-5D25-F775-CBCB9A3FAA5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311925" y="10377846"/>
          <a:ext cx="3591037" cy="213653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485578</xdr:colOff>
      <xdr:row>54</xdr:row>
      <xdr:rowOff>87922</xdr:rowOff>
    </xdr:from>
    <xdr:to>
      <xdr:col>29</xdr:col>
      <xdr:colOff>490905</xdr:colOff>
      <xdr:row>71</xdr:row>
      <xdr:rowOff>38733</xdr:rowOff>
    </xdr:to>
    <xdr:pic>
      <xdr:nvPicPr>
        <xdr:cNvPr id="5" name="Picture 4" descr="Depreciation Expense | Formula + Calculation Tutorial">
          <a:extLst>
            <a:ext uri="{FF2B5EF4-FFF2-40B4-BE49-F238E27FC236}">
              <a16:creationId xmlns:a16="http://schemas.microsoft.com/office/drawing/2014/main" id="{46BF243E-4CAA-DA07-5FD1-CBC8D4F09D2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688943" y="10081845"/>
          <a:ext cx="4870404" cy="31526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205155</xdr:colOff>
      <xdr:row>41</xdr:row>
      <xdr:rowOff>129295</xdr:rowOff>
    </xdr:from>
    <xdr:to>
      <xdr:col>19</xdr:col>
      <xdr:colOff>397252</xdr:colOff>
      <xdr:row>53</xdr:row>
      <xdr:rowOff>36636</xdr:rowOff>
    </xdr:to>
    <xdr:pic>
      <xdr:nvPicPr>
        <xdr:cNvPr id="6" name="Picture 5" descr="Understanding Capital Expenditure (CapEx): Definitions, Formulas, and  Real-World Examples">
          <a:extLst>
            <a:ext uri="{FF2B5EF4-FFF2-40B4-BE49-F238E27FC236}">
              <a16:creationId xmlns:a16="http://schemas.microsoft.com/office/drawing/2014/main" id="{C11074E2-D663-10EF-AAD5-905858FC773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616713" y="7881180"/>
          <a:ext cx="3628424" cy="214937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593153</xdr:colOff>
      <xdr:row>71</xdr:row>
      <xdr:rowOff>175852</xdr:rowOff>
    </xdr:from>
    <xdr:to>
      <xdr:col>22</xdr:col>
      <xdr:colOff>300990</xdr:colOff>
      <xdr:row>81</xdr:row>
      <xdr:rowOff>44260</xdr:rowOff>
    </xdr:to>
    <xdr:pic>
      <xdr:nvPicPr>
        <xdr:cNvPr id="7" name="Picture 6" descr="Net Working Capital (NWC) | Formula + Calculator">
          <a:extLst>
            <a:ext uri="{FF2B5EF4-FFF2-40B4-BE49-F238E27FC236}">
              <a16:creationId xmlns:a16="http://schemas.microsoft.com/office/drawing/2014/main" id="{99C4697C-0B3A-5CC9-DC4E-5692927D0AB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43922" y="13635410"/>
          <a:ext cx="4968568" cy="170013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285749</xdr:colOff>
      <xdr:row>72</xdr:row>
      <xdr:rowOff>51293</xdr:rowOff>
    </xdr:from>
    <xdr:to>
      <xdr:col>29</xdr:col>
      <xdr:colOff>256442</xdr:colOff>
      <xdr:row>80</xdr:row>
      <xdr:rowOff>144092</xdr:rowOff>
    </xdr:to>
    <xdr:pic>
      <xdr:nvPicPr>
        <xdr:cNvPr id="8" name="Picture 7" descr="A/P Days | Formula + Calculator">
          <a:extLst>
            <a:ext uri="{FF2B5EF4-FFF2-40B4-BE49-F238E27FC236}">
              <a16:creationId xmlns:a16="http://schemas.microsoft.com/office/drawing/2014/main" id="{B981C618-E5C6-76B2-B13A-CF227273F51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705384" y="13694024"/>
          <a:ext cx="3619500" cy="15581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285750</xdr:colOff>
      <xdr:row>82</xdr:row>
      <xdr:rowOff>73272</xdr:rowOff>
    </xdr:from>
    <xdr:to>
      <xdr:col>29</xdr:col>
      <xdr:colOff>279159</xdr:colOff>
      <xdr:row>90</xdr:row>
      <xdr:rowOff>175851</xdr:rowOff>
    </xdr:to>
    <xdr:pic>
      <xdr:nvPicPr>
        <xdr:cNvPr id="9" name="Picture 8" descr="Inventory Days | Formula + Calculator">
          <a:extLst>
            <a:ext uri="{FF2B5EF4-FFF2-40B4-BE49-F238E27FC236}">
              <a16:creationId xmlns:a16="http://schemas.microsoft.com/office/drawing/2014/main" id="{6ADE292A-958B-BAEC-8E68-17A40166C47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705385" y="15547734"/>
          <a:ext cx="3642216" cy="156796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468924</xdr:colOff>
      <xdr:row>72</xdr:row>
      <xdr:rowOff>51293</xdr:rowOff>
    </xdr:from>
    <xdr:to>
      <xdr:col>35</xdr:col>
      <xdr:colOff>461596</xdr:colOff>
      <xdr:row>80</xdr:row>
      <xdr:rowOff>153554</xdr:rowOff>
    </xdr:to>
    <xdr:pic>
      <xdr:nvPicPr>
        <xdr:cNvPr id="10" name="Picture 9" descr="A/R Days | Formula + Calculator">
          <a:extLst>
            <a:ext uri="{FF2B5EF4-FFF2-40B4-BE49-F238E27FC236}">
              <a16:creationId xmlns:a16="http://schemas.microsoft.com/office/drawing/2014/main" id="{F2A36A46-15F1-C0B9-B342-7A17546A085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0537366" y="13694024"/>
          <a:ext cx="3641480" cy="156764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188875</xdr:colOff>
      <xdr:row>0</xdr:row>
      <xdr:rowOff>184219</xdr:rowOff>
    </xdr:from>
    <xdr:to>
      <xdr:col>25</xdr:col>
      <xdr:colOff>0</xdr:colOff>
      <xdr:row>27</xdr:row>
      <xdr:rowOff>159098</xdr:rowOff>
    </xdr:to>
    <xdr:sp macro="" textlink="">
      <xdr:nvSpPr>
        <xdr:cNvPr id="2" name="TextBox 4">
          <a:extLst>
            <a:ext uri="{FF2B5EF4-FFF2-40B4-BE49-F238E27FC236}">
              <a16:creationId xmlns:a16="http://schemas.microsoft.com/office/drawing/2014/main" id="{F38E9ED1-5BE8-4D00-92E3-8A26C97C2773}"/>
            </a:ext>
          </a:extLst>
        </xdr:cNvPr>
        <xdr:cNvSpPr txBox="1"/>
      </xdr:nvSpPr>
      <xdr:spPr>
        <a:xfrm>
          <a:off x="11309051" y="184219"/>
          <a:ext cx="6535147" cy="5133033"/>
        </a:xfrm>
        <a:prstGeom prst="rect">
          <a:avLst/>
        </a:prstGeom>
        <a:noFill/>
        <a:ln w="19050">
          <a:solidFill>
            <a:sysClr val="windowText" lastClr="000000"/>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400"/>
            <a:t>You are evaluating the potential leveraged buyout of Lemon Grove Ltd, a non-alcoholic beverages manufacturer with stable demand and predictable operating performance. </a:t>
          </a:r>
        </a:p>
        <a:p>
          <a:endParaRPr lang="en-GB" sz="1400"/>
        </a:p>
        <a:p>
          <a:r>
            <a:rPr lang="en-GB" sz="1400"/>
            <a:t>The company generated £480 million of LTM revenue and £96 million of LTM EBITDA (20% margin).</a:t>
          </a:r>
        </a:p>
        <a:p>
          <a:r>
            <a:rPr lang="en-GB" sz="1400"/>
            <a:t>The proposed acquisition assumes an entry multiple of 9.5x EBITDA. </a:t>
          </a:r>
        </a:p>
        <a:p>
          <a:endParaRPr lang="en-GB" sz="1400"/>
        </a:p>
        <a:p>
          <a:r>
            <a:rPr lang="en-GB" sz="1400"/>
            <a:t>The business currently carries £40 million of cash, £220 million of existing debt, and £48 million of net working capital (equal to 10% of revenue).</a:t>
          </a:r>
        </a:p>
        <a:p>
          <a:endParaRPr lang="en-GB" sz="1400"/>
        </a:p>
        <a:p>
          <a:r>
            <a:rPr lang="en-GB" sz="1400"/>
            <a:t>Assume revenues grow 7% per year, EBITDA margins remain at 20%, D&amp;A is 2.5% of revenue, CapEx is 4% of revenue, and NWC continues to represent 10% of revenue each year. The Corporate</a:t>
          </a:r>
          <a:r>
            <a:rPr lang="en-GB" sz="1400" baseline="0"/>
            <a:t> Tax Rate is 20%</a:t>
          </a:r>
          <a:endParaRPr lang="en-GB" sz="1400"/>
        </a:p>
        <a:p>
          <a:endParaRPr lang="en-GB" sz="1400"/>
        </a:p>
        <a:p>
          <a:r>
            <a:rPr lang="en-GB" sz="1400"/>
            <a:t>The transaction will be funded with £500 million of new term-loan debt at a 9% interest rate, with no amortisation (bullet repayment), and all remaining capital provided by the sponsor as equity.</a:t>
          </a:r>
        </a:p>
        <a:p>
          <a:endParaRPr lang="en-GB" sz="1400"/>
        </a:p>
        <a:p>
          <a:r>
            <a:rPr lang="en-GB" sz="1400"/>
            <a:t>At the end of Year 5, assume the company is sold at an exit multiple of 9.5x EBITDA, the same as at entry, and all outstanding debt is repaid at exit.</a:t>
          </a:r>
        </a:p>
        <a:p>
          <a:endParaRPr lang="en-GB" sz="1400"/>
        </a:p>
        <a:p>
          <a:r>
            <a:rPr lang="en-GB" sz="1400"/>
            <a:t>Using this information, calculate the entry Enterprise Value, the equity contribution, the 5-year forecasts, and determine the sponsor’s MOIC and IRR over the 5-year holding period.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188875</xdr:colOff>
      <xdr:row>1</xdr:row>
      <xdr:rowOff>0</xdr:rowOff>
    </xdr:from>
    <xdr:to>
      <xdr:col>25</xdr:col>
      <xdr:colOff>0</xdr:colOff>
      <xdr:row>28</xdr:row>
      <xdr:rowOff>0</xdr:rowOff>
    </xdr:to>
    <xdr:sp macro="" textlink="">
      <xdr:nvSpPr>
        <xdr:cNvPr id="2" name="TextBox 4">
          <a:extLst>
            <a:ext uri="{FF2B5EF4-FFF2-40B4-BE49-F238E27FC236}">
              <a16:creationId xmlns:a16="http://schemas.microsoft.com/office/drawing/2014/main" id="{A243AEDB-BAEE-4EB3-A643-12473BC5DDBB}"/>
            </a:ext>
          </a:extLst>
        </xdr:cNvPr>
        <xdr:cNvSpPr txBox="1"/>
      </xdr:nvSpPr>
      <xdr:spPr>
        <a:xfrm>
          <a:off x="11309051" y="184220"/>
          <a:ext cx="6535147" cy="5158154"/>
        </a:xfrm>
        <a:prstGeom prst="rect">
          <a:avLst/>
        </a:prstGeom>
        <a:noFill/>
        <a:ln w="19050">
          <a:solidFill>
            <a:sysClr val="windowText" lastClr="000000"/>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400"/>
            <a:t>You are evaluating the potential leveraged buyout of Lemon Grove Ltd, a non-alcoholic beverages manufacturer with stable demand and predictable operating performance. </a:t>
          </a:r>
        </a:p>
        <a:p>
          <a:endParaRPr lang="en-GB" sz="1400"/>
        </a:p>
        <a:p>
          <a:r>
            <a:rPr lang="en-GB" sz="1400"/>
            <a:t>The company generated £480 million of LTM revenue and £96 million of LTM EBITDA (20% margin).</a:t>
          </a:r>
        </a:p>
        <a:p>
          <a:r>
            <a:rPr lang="en-GB" sz="1400"/>
            <a:t>The proposed acquisition assumes an entry multiple of 9.5x EBITDA. </a:t>
          </a:r>
        </a:p>
        <a:p>
          <a:endParaRPr lang="en-GB" sz="1400"/>
        </a:p>
        <a:p>
          <a:r>
            <a:rPr lang="en-GB" sz="1400"/>
            <a:t>The business currently carries £40 million of cash, £220 million of existing debt, and £48 million of net working capital (equal to 10% of revenue).</a:t>
          </a:r>
        </a:p>
        <a:p>
          <a:endParaRPr lang="en-GB" sz="1400"/>
        </a:p>
        <a:p>
          <a:r>
            <a:rPr lang="en-GB" sz="1400"/>
            <a:t>Assume revenues grow 7% per year, EBITDA margins remain at 20%, D&amp;A is 2.5% of revenue, CapEx is 4% of revenue, and NWC continues to represent 10% of revenue each year. The Corporate</a:t>
          </a:r>
          <a:r>
            <a:rPr lang="en-GB" sz="1400" baseline="0"/>
            <a:t> Tax Rate is 20%</a:t>
          </a:r>
          <a:endParaRPr lang="en-GB" sz="1400"/>
        </a:p>
        <a:p>
          <a:endParaRPr lang="en-GB" sz="1400"/>
        </a:p>
        <a:p>
          <a:r>
            <a:rPr lang="en-GB" sz="1400"/>
            <a:t>The transaction will be funded with £500 million of new term-loan debt at a 9% interest rate, with no amortisation (bullet repayment), and all remaining capital provided by the sponsor as equity.</a:t>
          </a:r>
        </a:p>
        <a:p>
          <a:endParaRPr lang="en-GB" sz="1400"/>
        </a:p>
        <a:p>
          <a:r>
            <a:rPr lang="en-GB" sz="1400"/>
            <a:t>At the end of Year 5, assume the company is sold at an exit multiple of 9.5x EBITDA, the same as at entry, and all outstanding debt is repaid at exit.</a:t>
          </a:r>
        </a:p>
        <a:p>
          <a:endParaRPr lang="en-GB" sz="1400"/>
        </a:p>
        <a:p>
          <a:r>
            <a:rPr lang="en-GB" sz="1400"/>
            <a:t>Using this information, calculate the entry Enterprise Value, the equity contribution, the 5-year forecasts, and determine the sponsor’s MOIC and IRR over the 5-year holding period.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CC0B8-F0D6-447A-8347-C5E8B0B7DACE}">
  <dimension ref="B2:P30"/>
  <sheetViews>
    <sheetView showGridLines="0" zoomScale="90" workbookViewId="0">
      <selection activeCell="B2" sqref="B2"/>
    </sheetView>
  </sheetViews>
  <sheetFormatPr defaultRowHeight="14.4" x14ac:dyDescent="0.3"/>
  <cols>
    <col min="1" max="1" width="4.77734375" customWidth="1"/>
    <col min="8" max="8" width="19.6640625" bestFit="1" customWidth="1"/>
  </cols>
  <sheetData>
    <row r="2" spans="2:14" ht="18" x14ac:dyDescent="0.35">
      <c r="B2" s="2" t="s">
        <v>82</v>
      </c>
      <c r="C2" s="2"/>
      <c r="D2" s="2"/>
      <c r="E2" s="2"/>
      <c r="F2" s="2"/>
      <c r="G2" s="2"/>
      <c r="H2" s="2"/>
      <c r="I2" s="2"/>
      <c r="J2" s="2"/>
      <c r="K2" s="2"/>
      <c r="L2" s="2"/>
      <c r="M2" s="2"/>
      <c r="N2" s="2"/>
    </row>
    <row r="3" spans="2:14" x14ac:dyDescent="0.3">
      <c r="B3" s="47"/>
      <c r="C3" s="47"/>
      <c r="D3" s="47"/>
      <c r="E3" s="47"/>
      <c r="F3" s="47"/>
    </row>
    <row r="4" spans="2:14" x14ac:dyDescent="0.3">
      <c r="B4" s="47" t="s">
        <v>77</v>
      </c>
      <c r="C4" s="47"/>
      <c r="D4" s="47"/>
      <c r="E4" s="47"/>
      <c r="F4" s="54">
        <v>20</v>
      </c>
      <c r="H4" t="s">
        <v>158</v>
      </c>
      <c r="I4">
        <f>F4*F5</f>
        <v>2000</v>
      </c>
    </row>
    <row r="5" spans="2:14" x14ac:dyDescent="0.3">
      <c r="B5" s="47" t="s">
        <v>78</v>
      </c>
      <c r="C5" s="47"/>
      <c r="D5" s="47"/>
      <c r="E5" s="47"/>
      <c r="F5" s="55">
        <v>100</v>
      </c>
      <c r="H5" t="s">
        <v>9</v>
      </c>
      <c r="I5" s="129">
        <f>SUM(F6:F7)-F8</f>
        <v>510</v>
      </c>
    </row>
    <row r="6" spans="2:14" x14ac:dyDescent="0.3">
      <c r="B6" s="47" t="s">
        <v>79</v>
      </c>
      <c r="C6" s="47"/>
      <c r="D6" s="47"/>
      <c r="E6" s="47"/>
      <c r="F6" s="56">
        <v>50</v>
      </c>
      <c r="H6" t="s">
        <v>155</v>
      </c>
      <c r="I6" s="138">
        <f>SUM(I4:I5)</f>
        <v>2510</v>
      </c>
    </row>
    <row r="7" spans="2:14" x14ac:dyDescent="0.3">
      <c r="B7" s="47" t="s">
        <v>80</v>
      </c>
      <c r="C7" s="47"/>
      <c r="D7" s="47"/>
      <c r="E7" s="47"/>
      <c r="F7" s="56">
        <v>500</v>
      </c>
      <c r="I7" s="130"/>
    </row>
    <row r="8" spans="2:14" x14ac:dyDescent="0.3">
      <c r="B8" s="47" t="s">
        <v>81</v>
      </c>
      <c r="C8" s="47"/>
      <c r="D8" s="47"/>
      <c r="E8" s="47"/>
      <c r="F8" s="56">
        <v>40</v>
      </c>
      <c r="I8" s="129"/>
      <c r="L8" s="129"/>
    </row>
    <row r="9" spans="2:14" x14ac:dyDescent="0.3">
      <c r="B9" s="47"/>
      <c r="C9" s="47"/>
      <c r="D9" s="47"/>
      <c r="E9" s="47"/>
      <c r="F9" s="47"/>
    </row>
    <row r="10" spans="2:14" ht="18" x14ac:dyDescent="0.35">
      <c r="B10" s="2" t="s">
        <v>84</v>
      </c>
      <c r="C10" s="2"/>
      <c r="D10" s="2"/>
      <c r="E10" s="2"/>
      <c r="F10" s="2"/>
      <c r="G10" s="2"/>
      <c r="H10" s="2"/>
      <c r="I10" s="2"/>
      <c r="J10" s="2"/>
      <c r="K10" s="2"/>
      <c r="L10" s="2"/>
      <c r="M10" s="2"/>
      <c r="N10" s="2"/>
    </row>
    <row r="11" spans="2:14" x14ac:dyDescent="0.3">
      <c r="B11" s="47"/>
      <c r="C11" s="47"/>
      <c r="D11" s="47"/>
      <c r="E11" s="47"/>
      <c r="F11" s="47"/>
    </row>
    <row r="12" spans="2:14" x14ac:dyDescent="0.3">
      <c r="B12" s="47" t="s">
        <v>83</v>
      </c>
      <c r="C12" s="47"/>
      <c r="D12" s="47"/>
      <c r="E12" s="47"/>
      <c r="F12" s="52">
        <v>1500</v>
      </c>
      <c r="H12" t="s">
        <v>155</v>
      </c>
      <c r="I12" s="129">
        <f>F12</f>
        <v>1500</v>
      </c>
    </row>
    <row r="13" spans="2:14" x14ac:dyDescent="0.3">
      <c r="B13" s="47" t="s">
        <v>81</v>
      </c>
      <c r="C13" s="47"/>
      <c r="D13" s="47"/>
      <c r="E13" s="47"/>
      <c r="F13" s="52">
        <v>300</v>
      </c>
      <c r="H13" t="s">
        <v>9</v>
      </c>
      <c r="I13" s="129">
        <f>SUM(F14:F15)-F13</f>
        <v>460</v>
      </c>
    </row>
    <row r="14" spans="2:14" x14ac:dyDescent="0.3">
      <c r="B14" s="47" t="s">
        <v>80</v>
      </c>
      <c r="C14" s="47"/>
      <c r="D14" s="47"/>
      <c r="E14" s="47"/>
      <c r="F14" s="52">
        <v>700</v>
      </c>
      <c r="H14" t="s">
        <v>158</v>
      </c>
      <c r="I14" s="129">
        <f>I12-I13</f>
        <v>1040</v>
      </c>
    </row>
    <row r="15" spans="2:14" x14ac:dyDescent="0.3">
      <c r="B15" s="47" t="s">
        <v>79</v>
      </c>
      <c r="C15" s="47"/>
      <c r="D15" s="47"/>
      <c r="E15" s="47"/>
      <c r="F15" s="52">
        <v>60</v>
      </c>
      <c r="H15" t="s">
        <v>159</v>
      </c>
      <c r="I15" s="129">
        <f>F16</f>
        <v>100</v>
      </c>
    </row>
    <row r="16" spans="2:14" x14ac:dyDescent="0.3">
      <c r="B16" s="47" t="s">
        <v>78</v>
      </c>
      <c r="C16" s="47"/>
      <c r="D16" s="47"/>
      <c r="E16" s="47"/>
      <c r="F16" s="53">
        <v>100</v>
      </c>
      <c r="H16" t="s">
        <v>160</v>
      </c>
      <c r="I16" s="137">
        <f>I14/I15</f>
        <v>10.4</v>
      </c>
    </row>
    <row r="18" spans="2:16" ht="18" x14ac:dyDescent="0.35">
      <c r="B18" s="2" t="s">
        <v>154</v>
      </c>
      <c r="C18" s="2"/>
      <c r="D18" s="2"/>
      <c r="E18" s="2"/>
      <c r="F18" s="2"/>
      <c r="G18" s="2"/>
      <c r="H18" s="2"/>
      <c r="I18" s="2"/>
      <c r="J18" s="2"/>
      <c r="K18" s="2"/>
      <c r="L18" s="2"/>
      <c r="M18" s="2"/>
      <c r="N18" s="2"/>
      <c r="P18" s="57" t="s">
        <v>87</v>
      </c>
    </row>
    <row r="19" spans="2:16" x14ac:dyDescent="0.3">
      <c r="B19" s="47"/>
      <c r="C19" s="47"/>
      <c r="D19" s="47"/>
      <c r="E19" s="47"/>
      <c r="F19" s="47"/>
      <c r="G19" s="47"/>
    </row>
    <row r="20" spans="2:16" x14ac:dyDescent="0.3">
      <c r="B20" s="47" t="s">
        <v>80</v>
      </c>
      <c r="C20" s="47"/>
      <c r="D20" s="47"/>
      <c r="E20" s="47"/>
      <c r="F20" s="50">
        <v>800</v>
      </c>
      <c r="G20" s="47"/>
      <c r="H20" t="s">
        <v>158</v>
      </c>
      <c r="I20" s="129">
        <f>F23*F26</f>
        <v>900</v>
      </c>
    </row>
    <row r="21" spans="2:16" x14ac:dyDescent="0.3">
      <c r="B21" s="47" t="s">
        <v>85</v>
      </c>
      <c r="C21" s="47"/>
      <c r="D21" s="47"/>
      <c r="E21" s="47"/>
      <c r="F21" s="50">
        <v>56</v>
      </c>
      <c r="G21" s="47"/>
      <c r="H21" t="s">
        <v>8</v>
      </c>
      <c r="I21" s="129">
        <f>SUM(F20:F22)</f>
        <v>923</v>
      </c>
      <c r="P21" t="s">
        <v>153</v>
      </c>
    </row>
    <row r="22" spans="2:16" x14ac:dyDescent="0.3">
      <c r="B22" s="47" t="s">
        <v>79</v>
      </c>
      <c r="C22" s="47"/>
      <c r="D22" s="47"/>
      <c r="E22" s="47"/>
      <c r="F22" s="50">
        <v>67</v>
      </c>
      <c r="G22" s="47"/>
      <c r="H22" t="s">
        <v>161</v>
      </c>
      <c r="I22" s="129">
        <f>F24+F25</f>
        <v>57</v>
      </c>
      <c r="P22" t="s">
        <v>162</v>
      </c>
    </row>
    <row r="23" spans="2:16" x14ac:dyDescent="0.3">
      <c r="B23" s="47" t="s">
        <v>77</v>
      </c>
      <c r="C23" s="47"/>
      <c r="D23" s="47"/>
      <c r="E23" s="47"/>
      <c r="F23" s="51">
        <v>3</v>
      </c>
      <c r="G23" s="47"/>
      <c r="H23" t="s">
        <v>9</v>
      </c>
      <c r="I23" s="129">
        <f>I21-I22</f>
        <v>866</v>
      </c>
    </row>
    <row r="24" spans="2:16" x14ac:dyDescent="0.3">
      <c r="B24" s="47" t="s">
        <v>81</v>
      </c>
      <c r="C24" s="47"/>
      <c r="D24" s="47"/>
      <c r="E24" s="47"/>
      <c r="F24" s="50">
        <v>45</v>
      </c>
      <c r="G24" s="47"/>
      <c r="H24" t="s">
        <v>155</v>
      </c>
      <c r="I24" s="138">
        <f>I20+I23</f>
        <v>1766</v>
      </c>
    </row>
    <row r="25" spans="2:16" x14ac:dyDescent="0.3">
      <c r="B25" s="47" t="s">
        <v>86</v>
      </c>
      <c r="C25" s="47"/>
      <c r="D25" s="47"/>
      <c r="E25" s="47"/>
      <c r="F25" s="50">
        <v>12</v>
      </c>
      <c r="G25" s="47"/>
    </row>
    <row r="26" spans="2:16" x14ac:dyDescent="0.3">
      <c r="B26" s="47" t="s">
        <v>78</v>
      </c>
      <c r="C26" s="47"/>
      <c r="D26" s="47"/>
      <c r="E26" s="47"/>
      <c r="F26" s="49">
        <v>300</v>
      </c>
      <c r="G26" s="47"/>
    </row>
    <row r="27" spans="2:16" x14ac:dyDescent="0.3">
      <c r="B27" s="47"/>
      <c r="C27" s="47"/>
      <c r="D27" s="47"/>
      <c r="E27" s="47"/>
      <c r="F27" s="47"/>
      <c r="G27" s="47"/>
    </row>
    <row r="28" spans="2:16" x14ac:dyDescent="0.3">
      <c r="B28" s="47"/>
      <c r="C28" s="47"/>
      <c r="D28" s="47"/>
      <c r="E28" s="47"/>
      <c r="F28" s="48"/>
      <c r="G28" s="47"/>
    </row>
    <row r="29" spans="2:16" x14ac:dyDescent="0.3">
      <c r="B29" s="47"/>
      <c r="C29" s="47"/>
      <c r="D29" s="47"/>
      <c r="E29" s="47"/>
      <c r="F29" s="47"/>
      <c r="G29" s="47"/>
    </row>
    <row r="30" spans="2:16" x14ac:dyDescent="0.3">
      <c r="B30" s="46"/>
      <c r="C30" s="47"/>
      <c r="D30" s="47"/>
      <c r="E30" s="47"/>
      <c r="G30" s="4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87"/>
  <sheetViews>
    <sheetView showGridLines="0" zoomScale="119" workbookViewId="0">
      <selection activeCell="B2" sqref="B2"/>
    </sheetView>
  </sheetViews>
  <sheetFormatPr defaultRowHeight="14.4" outlineLevelRow="1" x14ac:dyDescent="0.3"/>
  <cols>
    <col min="1" max="1" width="4.77734375" customWidth="1"/>
    <col min="2" max="2" width="18.77734375" customWidth="1"/>
    <col min="3" max="3" width="4.77734375" customWidth="1"/>
    <col min="4" max="4" width="11.77734375" customWidth="1"/>
    <col min="5" max="5" width="8.88671875" bestFit="1" customWidth="1"/>
    <col min="6" max="6" width="11.77734375" customWidth="1"/>
    <col min="7" max="7" width="5.77734375" customWidth="1"/>
    <col min="8" max="21" width="11.77734375" customWidth="1"/>
  </cols>
  <sheetData>
    <row r="2" spans="1:15" ht="18" x14ac:dyDescent="0.35">
      <c r="A2" t="s">
        <v>74</v>
      </c>
      <c r="B2" s="2" t="s">
        <v>76</v>
      </c>
      <c r="C2" s="2"/>
      <c r="D2" s="2"/>
      <c r="E2" s="2"/>
      <c r="F2" s="2"/>
      <c r="G2" s="2"/>
      <c r="H2" s="2"/>
      <c r="I2" s="2"/>
      <c r="J2" s="2"/>
      <c r="K2" s="2"/>
      <c r="L2" s="2"/>
      <c r="M2" s="2"/>
      <c r="N2" s="2"/>
    </row>
    <row r="3" spans="1:15" outlineLevel="1" x14ac:dyDescent="0.3"/>
    <row r="4" spans="1:15" outlineLevel="1" x14ac:dyDescent="0.3">
      <c r="B4" s="16" t="s">
        <v>30</v>
      </c>
    </row>
    <row r="5" spans="1:15" outlineLevel="1" x14ac:dyDescent="0.3">
      <c r="B5" s="16"/>
    </row>
    <row r="6" spans="1:15" ht="18" outlineLevel="1" x14ac:dyDescent="0.35">
      <c r="A6" t="s">
        <v>74</v>
      </c>
      <c r="B6" s="2" t="s">
        <v>0</v>
      </c>
      <c r="C6" s="2"/>
      <c r="D6" s="2"/>
      <c r="F6" s="2" t="s">
        <v>11</v>
      </c>
      <c r="G6" s="2"/>
      <c r="H6" s="2"/>
      <c r="I6" s="2"/>
      <c r="J6" s="2"/>
      <c r="K6" s="2"/>
      <c r="L6" s="2"/>
      <c r="M6" s="2"/>
      <c r="N6" s="2"/>
    </row>
    <row r="7" spans="1:15" outlineLevel="1" x14ac:dyDescent="0.3"/>
    <row r="8" spans="1:15" outlineLevel="1" x14ac:dyDescent="0.3">
      <c r="B8" s="3" t="s">
        <v>1</v>
      </c>
      <c r="C8" s="4"/>
      <c r="D8" s="4"/>
      <c r="F8" s="3" t="s">
        <v>12</v>
      </c>
      <c r="G8" s="4"/>
      <c r="H8" s="32" t="s">
        <v>16</v>
      </c>
      <c r="I8" s="32" t="s">
        <v>17</v>
      </c>
      <c r="K8" s="3" t="s">
        <v>18</v>
      </c>
      <c r="L8" s="4"/>
      <c r="M8" s="4"/>
    </row>
    <row r="9" spans="1:15" outlineLevel="1" x14ac:dyDescent="0.3">
      <c r="B9" s="9" t="s">
        <v>2</v>
      </c>
      <c r="D9" s="8">
        <v>10</v>
      </c>
      <c r="F9" t="s">
        <v>104</v>
      </c>
      <c r="H9" s="10">
        <f>D16</f>
        <v>50</v>
      </c>
      <c r="I9" s="71">
        <f>H9/D11</f>
        <v>0.5</v>
      </c>
      <c r="K9" t="s">
        <v>19</v>
      </c>
      <c r="M9" s="10">
        <f>D19</f>
        <v>800</v>
      </c>
    </row>
    <row r="10" spans="1:15" outlineLevel="1" x14ac:dyDescent="0.3">
      <c r="B10" s="9" t="s">
        <v>3</v>
      </c>
      <c r="D10" s="8">
        <v>11</v>
      </c>
      <c r="F10" t="s">
        <v>14</v>
      </c>
      <c r="H10">
        <f>I10*D11</f>
        <v>600</v>
      </c>
      <c r="I10" s="8">
        <v>6</v>
      </c>
      <c r="K10" t="s">
        <v>20</v>
      </c>
      <c r="M10" s="12">
        <f>D17</f>
        <v>250</v>
      </c>
    </row>
    <row r="11" spans="1:15" outlineLevel="1" x14ac:dyDescent="0.3">
      <c r="B11" s="9" t="s">
        <v>4</v>
      </c>
      <c r="D11" s="6">
        <v>100</v>
      </c>
      <c r="F11" t="s">
        <v>15</v>
      </c>
      <c r="H11" s="13">
        <f>H12-SUM(H9:H10)</f>
        <v>400</v>
      </c>
      <c r="I11" s="14">
        <f>H11/D11</f>
        <v>4</v>
      </c>
      <c r="K11" t="s">
        <v>21</v>
      </c>
      <c r="M11" s="10">
        <f>SUM(M9:M10)</f>
        <v>1050</v>
      </c>
    </row>
    <row r="12" spans="1:15" outlineLevel="1" x14ac:dyDescent="0.3">
      <c r="F12" t="s">
        <v>22</v>
      </c>
      <c r="H12" s="10">
        <f>M11</f>
        <v>1050</v>
      </c>
      <c r="I12" s="7">
        <f>SUM(I10:I11)</f>
        <v>10</v>
      </c>
    </row>
    <row r="13" spans="1:15" outlineLevel="1" x14ac:dyDescent="0.3"/>
    <row r="14" spans="1:15" ht="18" outlineLevel="1" x14ac:dyDescent="0.35">
      <c r="B14" s="3" t="s">
        <v>5</v>
      </c>
      <c r="C14" s="4"/>
      <c r="D14" s="4"/>
      <c r="F14" s="2" t="s">
        <v>23</v>
      </c>
      <c r="G14" s="2"/>
      <c r="H14" s="2"/>
      <c r="I14" s="2"/>
      <c r="K14" s="2" t="s">
        <v>75</v>
      </c>
      <c r="L14" s="2"/>
      <c r="M14" s="2"/>
      <c r="N14" s="2"/>
    </row>
    <row r="15" spans="1:15" ht="15" outlineLevel="1" thickBot="1" x14ac:dyDescent="0.35">
      <c r="B15" s="9" t="s">
        <v>6</v>
      </c>
      <c r="D15" s="10">
        <f>D11*D9</f>
        <v>1000</v>
      </c>
    </row>
    <row r="16" spans="1:15" outlineLevel="1" x14ac:dyDescent="0.3">
      <c r="B16" s="9" t="s">
        <v>7</v>
      </c>
      <c r="D16" s="6">
        <v>50</v>
      </c>
      <c r="F16" t="s">
        <v>25</v>
      </c>
      <c r="H16" s="21">
        <v>0.08</v>
      </c>
      <c r="K16" s="40" t="s">
        <v>39</v>
      </c>
      <c r="L16" s="41"/>
      <c r="M16" s="42">
        <f>M80</f>
        <v>0.21982532184822601</v>
      </c>
    </row>
    <row r="17" spans="1:14" ht="15" outlineLevel="1" thickBot="1" x14ac:dyDescent="0.35">
      <c r="B17" s="9" t="s">
        <v>8</v>
      </c>
      <c r="D17" s="6">
        <v>250</v>
      </c>
      <c r="F17" t="s">
        <v>26</v>
      </c>
      <c r="H17" s="21">
        <v>0.2</v>
      </c>
      <c r="K17" s="43" t="s">
        <v>40</v>
      </c>
      <c r="L17" s="44"/>
      <c r="M17" s="45">
        <f>M81</f>
        <v>2.7007738644480015</v>
      </c>
    </row>
    <row r="18" spans="1:14" outlineLevel="1" x14ac:dyDescent="0.3">
      <c r="B18" s="9" t="s">
        <v>9</v>
      </c>
      <c r="D18" s="10">
        <f>D17-D16</f>
        <v>200</v>
      </c>
      <c r="F18" t="s">
        <v>27</v>
      </c>
      <c r="H18" s="21">
        <v>0.02</v>
      </c>
    </row>
    <row r="19" spans="1:14" outlineLevel="1" x14ac:dyDescent="0.3">
      <c r="B19" s="9" t="s">
        <v>10</v>
      </c>
      <c r="D19" s="10">
        <f>D15-D18</f>
        <v>800</v>
      </c>
      <c r="F19" t="s">
        <v>28</v>
      </c>
      <c r="H19" s="21">
        <v>0.1</v>
      </c>
      <c r="K19" t="s">
        <v>60</v>
      </c>
      <c r="M19" s="27">
        <f t="shared" ref="M19:N22" si="0">D77</f>
        <v>469.32807680000053</v>
      </c>
      <c r="N19" s="26">
        <f t="shared" si="0"/>
        <v>0.68987430752930268</v>
      </c>
    </row>
    <row r="20" spans="1:14" outlineLevel="1" x14ac:dyDescent="0.3">
      <c r="F20" t="s">
        <v>29</v>
      </c>
      <c r="H20" s="21">
        <v>0.05</v>
      </c>
      <c r="K20" t="s">
        <v>61</v>
      </c>
      <c r="M20" s="27">
        <f t="shared" si="0"/>
        <v>146.93280768000005</v>
      </c>
      <c r="N20" s="26">
        <f t="shared" si="0"/>
        <v>0.21597934145067568</v>
      </c>
    </row>
    <row r="21" spans="1:14" outlineLevel="1" x14ac:dyDescent="0.3">
      <c r="F21" t="s">
        <v>36</v>
      </c>
      <c r="H21" s="21">
        <v>0.2</v>
      </c>
      <c r="K21" s="4" t="s">
        <v>62</v>
      </c>
      <c r="L21" s="4"/>
      <c r="M21" s="35">
        <f t="shared" si="0"/>
        <v>64.048661299200035</v>
      </c>
      <c r="N21" s="36">
        <f t="shared" si="0"/>
        <v>9.4146351020021529E-2</v>
      </c>
    </row>
    <row r="22" spans="1:14" outlineLevel="1" x14ac:dyDescent="0.3">
      <c r="F22" t="s">
        <v>46</v>
      </c>
      <c r="H22" s="21">
        <v>0.02</v>
      </c>
      <c r="K22" s="1" t="s">
        <v>63</v>
      </c>
      <c r="M22" s="28">
        <f t="shared" si="0"/>
        <v>680.30954577920068</v>
      </c>
      <c r="N22" s="37">
        <f t="shared" si="0"/>
        <v>1</v>
      </c>
    </row>
    <row r="23" spans="1:14" outlineLevel="1" x14ac:dyDescent="0.3">
      <c r="H23" s="21"/>
    </row>
    <row r="25" spans="1:14" ht="18" x14ac:dyDescent="0.35">
      <c r="A25" t="s">
        <v>74</v>
      </c>
      <c r="B25" s="2" t="s">
        <v>24</v>
      </c>
      <c r="C25" s="2"/>
      <c r="D25" s="2"/>
      <c r="E25" s="2"/>
      <c r="F25" s="2"/>
      <c r="G25" s="2"/>
      <c r="H25" s="2"/>
      <c r="I25" s="2"/>
      <c r="J25" s="2"/>
      <c r="K25" s="2"/>
      <c r="L25" s="2"/>
      <c r="M25" s="2"/>
      <c r="N25" s="2"/>
    </row>
    <row r="26" spans="1:14" outlineLevel="1" x14ac:dyDescent="0.3"/>
    <row r="27" spans="1:14" outlineLevel="1" x14ac:dyDescent="0.3">
      <c r="B27" s="16" t="s">
        <v>30</v>
      </c>
      <c r="I27" s="17">
        <v>0</v>
      </c>
      <c r="J27" s="18">
        <f>I27+1</f>
        <v>1</v>
      </c>
      <c r="K27" s="18">
        <f t="shared" ref="K27:N27" si="1">J27+1</f>
        <v>2</v>
      </c>
      <c r="L27" s="18">
        <f t="shared" si="1"/>
        <v>3</v>
      </c>
      <c r="M27" s="18">
        <f t="shared" si="1"/>
        <v>4</v>
      </c>
      <c r="N27" s="18">
        <f t="shared" si="1"/>
        <v>5</v>
      </c>
    </row>
    <row r="28" spans="1:14" outlineLevel="1" x14ac:dyDescent="0.3"/>
    <row r="29" spans="1:14" outlineLevel="1" x14ac:dyDescent="0.3">
      <c r="B29" s="1" t="s">
        <v>31</v>
      </c>
      <c r="I29" s="23">
        <v>500</v>
      </c>
      <c r="J29" s="24">
        <f>(1+J30)*I29</f>
        <v>540</v>
      </c>
      <c r="K29" s="24">
        <f t="shared" ref="K29:N29" si="2">(1+K30)*J29</f>
        <v>583.20000000000005</v>
      </c>
      <c r="L29" s="24">
        <f t="shared" si="2"/>
        <v>629.85600000000011</v>
      </c>
      <c r="M29" s="24">
        <f t="shared" si="2"/>
        <v>680.24448000000018</v>
      </c>
      <c r="N29" s="24">
        <f t="shared" si="2"/>
        <v>734.66403840000021</v>
      </c>
    </row>
    <row r="30" spans="1:14" outlineLevel="1" x14ac:dyDescent="0.3">
      <c r="B30" s="15" t="s">
        <v>32</v>
      </c>
      <c r="I30" s="25"/>
      <c r="J30" s="26">
        <f>$H$16</f>
        <v>0.08</v>
      </c>
      <c r="K30" s="26">
        <f>$H$16</f>
        <v>0.08</v>
      </c>
      <c r="L30" s="26">
        <f>$H$16</f>
        <v>0.08</v>
      </c>
      <c r="M30" s="26">
        <f>$H$16</f>
        <v>0.08</v>
      </c>
      <c r="N30" s="26">
        <f>$H$16</f>
        <v>0.08</v>
      </c>
    </row>
    <row r="31" spans="1:14" outlineLevel="1" x14ac:dyDescent="0.3"/>
    <row r="32" spans="1:14" outlineLevel="1" x14ac:dyDescent="0.3">
      <c r="B32" s="1" t="s">
        <v>33</v>
      </c>
      <c r="I32" s="30">
        <v>100</v>
      </c>
      <c r="J32" s="31">
        <f>J33*J29</f>
        <v>108</v>
      </c>
      <c r="K32" s="31">
        <f t="shared" ref="K32:N32" si="3">K33*K29</f>
        <v>116.64000000000001</v>
      </c>
      <c r="L32" s="31">
        <f t="shared" si="3"/>
        <v>125.97120000000002</v>
      </c>
      <c r="M32" s="31">
        <f t="shared" si="3"/>
        <v>136.04889600000004</v>
      </c>
      <c r="N32" s="31">
        <f t="shared" si="3"/>
        <v>146.93280768000005</v>
      </c>
    </row>
    <row r="33" spans="2:14" outlineLevel="1" x14ac:dyDescent="0.3">
      <c r="B33" s="15" t="s">
        <v>34</v>
      </c>
      <c r="I33" s="26">
        <f>I32/I$29</f>
        <v>0.2</v>
      </c>
      <c r="J33" s="26">
        <f>$H$17</f>
        <v>0.2</v>
      </c>
      <c r="K33" s="26">
        <f>$H$17</f>
        <v>0.2</v>
      </c>
      <c r="L33" s="26">
        <f>$H$17</f>
        <v>0.2</v>
      </c>
      <c r="M33" s="26">
        <f>$H$17</f>
        <v>0.2</v>
      </c>
      <c r="N33" s="26">
        <f>$H$17</f>
        <v>0.2</v>
      </c>
    </row>
    <row r="34" spans="2:14" outlineLevel="1" x14ac:dyDescent="0.3"/>
    <row r="35" spans="2:14" outlineLevel="1" x14ac:dyDescent="0.3">
      <c r="B35" s="1" t="s">
        <v>35</v>
      </c>
      <c r="I35" s="23">
        <v>-15</v>
      </c>
      <c r="J35" s="24">
        <f>J36*J29*-1</f>
        <v>-10.8</v>
      </c>
      <c r="K35" s="24">
        <f t="shared" ref="K35:N35" si="4">K36*K29*-1</f>
        <v>-11.664000000000001</v>
      </c>
      <c r="L35" s="24">
        <f t="shared" si="4"/>
        <v>-12.597120000000002</v>
      </c>
      <c r="M35" s="24">
        <f t="shared" si="4"/>
        <v>-13.604889600000003</v>
      </c>
      <c r="N35" s="24">
        <f t="shared" si="4"/>
        <v>-14.693280768000005</v>
      </c>
    </row>
    <row r="36" spans="2:14" outlineLevel="1" x14ac:dyDescent="0.3">
      <c r="B36" s="15" t="s">
        <v>34</v>
      </c>
      <c r="I36" s="25">
        <f>I35/I$29</f>
        <v>-0.03</v>
      </c>
      <c r="J36" s="26">
        <f>$H$18</f>
        <v>0.02</v>
      </c>
      <c r="K36" s="26">
        <f>$H$18</f>
        <v>0.02</v>
      </c>
      <c r="L36" s="26">
        <f>$H$18</f>
        <v>0.02</v>
      </c>
      <c r="M36" s="26">
        <f>$H$18</f>
        <v>0.02</v>
      </c>
      <c r="N36" s="26">
        <f>$H$18</f>
        <v>0.02</v>
      </c>
    </row>
    <row r="37" spans="2:14" outlineLevel="1" x14ac:dyDescent="0.3"/>
    <row r="38" spans="2:14" outlineLevel="1" x14ac:dyDescent="0.3">
      <c r="B38" s="1" t="s">
        <v>37</v>
      </c>
      <c r="I38" s="24">
        <f>I32+I35</f>
        <v>85</v>
      </c>
      <c r="J38" s="24">
        <f t="shared" ref="J38:N38" si="5">J32+J35</f>
        <v>97.2</v>
      </c>
      <c r="K38" s="24">
        <f t="shared" si="5"/>
        <v>104.97600000000001</v>
      </c>
      <c r="L38" s="24">
        <f t="shared" si="5"/>
        <v>113.37408000000002</v>
      </c>
      <c r="M38" s="24">
        <f t="shared" si="5"/>
        <v>122.44400640000003</v>
      </c>
      <c r="N38" s="24">
        <f t="shared" si="5"/>
        <v>132.23952691200006</v>
      </c>
    </row>
    <row r="39" spans="2:14" outlineLevel="1" x14ac:dyDescent="0.3">
      <c r="B39" s="15"/>
      <c r="I39" s="20"/>
      <c r="J39" s="20"/>
      <c r="K39" s="20"/>
      <c r="L39" s="20"/>
      <c r="M39" s="20"/>
      <c r="N39" s="20"/>
    </row>
    <row r="40" spans="2:14" outlineLevel="1" x14ac:dyDescent="0.3">
      <c r="B40" s="1" t="s">
        <v>43</v>
      </c>
      <c r="I40" s="24">
        <f>I41*D17*-1</f>
        <v>-12.5</v>
      </c>
      <c r="J40" s="24">
        <f>J69*-1</f>
        <v>-60</v>
      </c>
      <c r="K40" s="24">
        <f t="shared" ref="K40:N40" si="6">K69*-1</f>
        <v>-60</v>
      </c>
      <c r="L40" s="24">
        <f t="shared" si="6"/>
        <v>-60</v>
      </c>
      <c r="M40" s="24">
        <f t="shared" si="6"/>
        <v>-60</v>
      </c>
      <c r="N40" s="24">
        <f t="shared" si="6"/>
        <v>-60</v>
      </c>
    </row>
    <row r="41" spans="2:14" outlineLevel="1" x14ac:dyDescent="0.3">
      <c r="B41" s="15" t="s">
        <v>28</v>
      </c>
      <c r="I41" s="21">
        <v>0.05</v>
      </c>
      <c r="J41" s="22">
        <f>$H$19</f>
        <v>0.1</v>
      </c>
      <c r="K41" s="22">
        <f>$H$19</f>
        <v>0.1</v>
      </c>
      <c r="L41" s="22">
        <f>$H$19</f>
        <v>0.1</v>
      </c>
      <c r="M41" s="22">
        <f>$H$19</f>
        <v>0.1</v>
      </c>
      <c r="N41" s="22">
        <f>$H$19</f>
        <v>0.1</v>
      </c>
    </row>
    <row r="42" spans="2:14" outlineLevel="1" x14ac:dyDescent="0.3">
      <c r="B42" s="15"/>
      <c r="I42" s="22"/>
      <c r="J42" s="22"/>
      <c r="K42" s="22"/>
      <c r="L42" s="22"/>
      <c r="M42" s="22"/>
      <c r="N42" s="22"/>
    </row>
    <row r="43" spans="2:14" outlineLevel="1" x14ac:dyDescent="0.3">
      <c r="B43" s="1" t="s">
        <v>44</v>
      </c>
      <c r="I43" s="24">
        <f>I38-I40</f>
        <v>97.5</v>
      </c>
      <c r="J43" s="24">
        <f t="shared" ref="J43:N43" si="7">J38-J40</f>
        <v>157.19999999999999</v>
      </c>
      <c r="K43" s="24">
        <f t="shared" si="7"/>
        <v>164.976</v>
      </c>
      <c r="L43" s="24">
        <f t="shared" si="7"/>
        <v>173.37408000000002</v>
      </c>
      <c r="M43" s="24">
        <f t="shared" si="7"/>
        <v>182.44400640000003</v>
      </c>
      <c r="N43" s="24">
        <f t="shared" si="7"/>
        <v>192.23952691200006</v>
      </c>
    </row>
    <row r="44" spans="2:14" outlineLevel="1" x14ac:dyDescent="0.3">
      <c r="B44" s="15"/>
      <c r="I44" s="22"/>
      <c r="J44" s="22"/>
      <c r="K44" s="22"/>
      <c r="L44" s="22"/>
      <c r="M44" s="22"/>
      <c r="N44" s="22"/>
    </row>
    <row r="45" spans="2:14" outlineLevel="1" x14ac:dyDescent="0.3">
      <c r="B45" s="1" t="s">
        <v>41</v>
      </c>
      <c r="I45" s="24">
        <f>-I46*I43</f>
        <v>-19.5</v>
      </c>
      <c r="J45" s="24">
        <f t="shared" ref="J45:N45" si="8">-J46*J43</f>
        <v>-31.439999999999998</v>
      </c>
      <c r="K45" s="24">
        <f t="shared" si="8"/>
        <v>-32.995200000000004</v>
      </c>
      <c r="L45" s="24">
        <f t="shared" si="8"/>
        <v>-34.674816000000007</v>
      </c>
      <c r="M45" s="24">
        <f t="shared" si="8"/>
        <v>-36.488801280000011</v>
      </c>
      <c r="N45" s="24">
        <f t="shared" si="8"/>
        <v>-38.447905382400016</v>
      </c>
    </row>
    <row r="46" spans="2:14" outlineLevel="1" x14ac:dyDescent="0.3">
      <c r="B46" s="15" t="s">
        <v>42</v>
      </c>
      <c r="I46" s="22">
        <f t="shared" ref="I46:N46" si="9">$H$21</f>
        <v>0.2</v>
      </c>
      <c r="J46" s="22">
        <f t="shared" si="9"/>
        <v>0.2</v>
      </c>
      <c r="K46" s="22">
        <f t="shared" si="9"/>
        <v>0.2</v>
      </c>
      <c r="L46" s="22">
        <f t="shared" si="9"/>
        <v>0.2</v>
      </c>
      <c r="M46" s="22">
        <f t="shared" si="9"/>
        <v>0.2</v>
      </c>
      <c r="N46" s="22">
        <f t="shared" si="9"/>
        <v>0.2</v>
      </c>
    </row>
    <row r="47" spans="2:14" outlineLevel="1" x14ac:dyDescent="0.3"/>
    <row r="48" spans="2:14" outlineLevel="1" x14ac:dyDescent="0.3">
      <c r="B48" s="1" t="s">
        <v>45</v>
      </c>
      <c r="I48" s="29">
        <f>I43+I45</f>
        <v>78</v>
      </c>
      <c r="J48" s="29">
        <f t="shared" ref="J48:N48" si="10">J43+J45</f>
        <v>125.75999999999999</v>
      </c>
      <c r="K48" s="29">
        <f t="shared" si="10"/>
        <v>131.98079999999999</v>
      </c>
      <c r="L48" s="29">
        <f t="shared" si="10"/>
        <v>138.69926400000003</v>
      </c>
      <c r="M48" s="29">
        <f t="shared" si="10"/>
        <v>145.95520512000002</v>
      </c>
      <c r="N48" s="29">
        <f t="shared" si="10"/>
        <v>153.79162152960004</v>
      </c>
    </row>
    <row r="50" spans="1:14" ht="18" x14ac:dyDescent="0.35">
      <c r="A50" t="s">
        <v>74</v>
      </c>
      <c r="B50" s="2" t="s">
        <v>53</v>
      </c>
      <c r="C50" s="2"/>
      <c r="D50" s="2"/>
      <c r="E50" s="2"/>
      <c r="F50" s="2"/>
      <c r="G50" s="2"/>
      <c r="H50" s="2"/>
      <c r="I50" s="2"/>
      <c r="J50" s="2"/>
      <c r="K50" s="2"/>
      <c r="L50" s="2"/>
      <c r="M50" s="2"/>
      <c r="N50" s="2"/>
    </row>
    <row r="51" spans="1:14" outlineLevel="1" x14ac:dyDescent="0.3"/>
    <row r="52" spans="1:14" outlineLevel="1" x14ac:dyDescent="0.3">
      <c r="B52" s="16" t="s">
        <v>30</v>
      </c>
      <c r="I52" s="17">
        <v>0</v>
      </c>
      <c r="J52" s="18">
        <f>I52+1</f>
        <v>1</v>
      </c>
      <c r="K52" s="18">
        <f t="shared" ref="K52:N52" si="11">J52+1</f>
        <v>2</v>
      </c>
      <c r="L52" s="18">
        <f t="shared" si="11"/>
        <v>3</v>
      </c>
      <c r="M52" s="18">
        <f t="shared" si="11"/>
        <v>4</v>
      </c>
      <c r="N52" s="18">
        <f t="shared" si="11"/>
        <v>5</v>
      </c>
    </row>
    <row r="53" spans="1:14" outlineLevel="1" x14ac:dyDescent="0.3"/>
    <row r="54" spans="1:14" outlineLevel="1" x14ac:dyDescent="0.3">
      <c r="B54" t="s">
        <v>33</v>
      </c>
      <c r="I54" s="24"/>
      <c r="J54" s="24">
        <f t="shared" ref="J54:N54" si="12">J48</f>
        <v>125.75999999999999</v>
      </c>
      <c r="K54" s="24">
        <f t="shared" si="12"/>
        <v>131.98079999999999</v>
      </c>
      <c r="L54" s="24">
        <f t="shared" si="12"/>
        <v>138.69926400000003</v>
      </c>
      <c r="M54" s="24">
        <f t="shared" si="12"/>
        <v>145.95520512000002</v>
      </c>
      <c r="N54" s="24">
        <f t="shared" si="12"/>
        <v>153.79162152960004</v>
      </c>
    </row>
    <row r="55" spans="1:14" outlineLevel="1" x14ac:dyDescent="0.3">
      <c r="B55" t="s">
        <v>48</v>
      </c>
      <c r="I55" s="24"/>
      <c r="J55" s="24">
        <f>$H$20*-1*J29</f>
        <v>-27</v>
      </c>
      <c r="K55" s="24">
        <f>$H$20*-1*K29</f>
        <v>-29.160000000000004</v>
      </c>
      <c r="L55" s="24">
        <f>$H$20*-1*L29</f>
        <v>-31.492800000000006</v>
      </c>
      <c r="M55" s="24">
        <f>$H$20*-1*M29</f>
        <v>-34.01222400000001</v>
      </c>
      <c r="N55" s="24">
        <f>$H$20*-1*N29</f>
        <v>-36.733201920000013</v>
      </c>
    </row>
    <row r="56" spans="1:14" outlineLevel="1" x14ac:dyDescent="0.3">
      <c r="B56" t="s">
        <v>41</v>
      </c>
      <c r="J56" s="27">
        <f>J45</f>
        <v>-31.439999999999998</v>
      </c>
      <c r="K56" s="27">
        <f t="shared" ref="K56:N56" si="13">K45</f>
        <v>-32.995200000000004</v>
      </c>
      <c r="L56" s="27">
        <f t="shared" si="13"/>
        <v>-34.674816000000007</v>
      </c>
      <c r="M56" s="27">
        <f t="shared" si="13"/>
        <v>-36.488801280000011</v>
      </c>
      <c r="N56" s="27">
        <f t="shared" si="13"/>
        <v>-38.447905382400016</v>
      </c>
    </row>
    <row r="57" spans="1:14" outlineLevel="1" x14ac:dyDescent="0.3">
      <c r="B57" t="s">
        <v>57</v>
      </c>
      <c r="J57" s="27">
        <f>J40</f>
        <v>-60</v>
      </c>
      <c r="K57" s="27">
        <f t="shared" ref="K57:N57" si="14">K40</f>
        <v>-60</v>
      </c>
      <c r="L57" s="27">
        <f t="shared" si="14"/>
        <v>-60</v>
      </c>
      <c r="M57" s="27">
        <f t="shared" si="14"/>
        <v>-60</v>
      </c>
      <c r="N57" s="27">
        <f t="shared" si="14"/>
        <v>-60</v>
      </c>
    </row>
    <row r="58" spans="1:14" outlineLevel="1" x14ac:dyDescent="0.3">
      <c r="B58" t="s">
        <v>54</v>
      </c>
      <c r="J58" s="27">
        <f>J65</f>
        <v>4.1999999999999993</v>
      </c>
      <c r="K58" s="27">
        <f t="shared" ref="K58:N58" si="15">K65</f>
        <v>-0.86400000000000077</v>
      </c>
      <c r="L58" s="27">
        <f t="shared" si="15"/>
        <v>-0.93312000000000062</v>
      </c>
      <c r="M58" s="27">
        <f t="shared" si="15"/>
        <v>-1.0077696000000014</v>
      </c>
      <c r="N58" s="27">
        <f t="shared" si="15"/>
        <v>-1.0883911680000011</v>
      </c>
    </row>
    <row r="59" spans="1:14" outlineLevel="1" x14ac:dyDescent="0.3">
      <c r="B59" s="1" t="s">
        <v>56</v>
      </c>
      <c r="J59" s="29">
        <f>SUM(J54:J58)</f>
        <v>11.519999999999992</v>
      </c>
      <c r="K59" s="29">
        <f t="shared" ref="K59:N59" si="16">SUM(K54:K58)</f>
        <v>8.9615999999999794</v>
      </c>
      <c r="L59" s="29">
        <f t="shared" si="16"/>
        <v>11.598528000000018</v>
      </c>
      <c r="M59" s="29">
        <f t="shared" si="16"/>
        <v>14.446410239999993</v>
      </c>
      <c r="N59" s="29">
        <f t="shared" si="16"/>
        <v>17.522123059200013</v>
      </c>
    </row>
    <row r="60" spans="1:14" outlineLevel="1" x14ac:dyDescent="0.3">
      <c r="B60" t="s">
        <v>52</v>
      </c>
      <c r="J60" s="24">
        <f>I60+J59</f>
        <v>11.519999999999992</v>
      </c>
      <c r="K60" s="24">
        <f t="shared" ref="K60:N60" si="17">J60+K59</f>
        <v>20.481599999999972</v>
      </c>
      <c r="L60" s="24">
        <f t="shared" si="17"/>
        <v>32.080127999999988</v>
      </c>
      <c r="M60" s="24">
        <f t="shared" si="17"/>
        <v>46.526538239999979</v>
      </c>
      <c r="N60" s="24">
        <f t="shared" si="17"/>
        <v>64.048661299199992</v>
      </c>
    </row>
    <row r="61" spans="1:14" outlineLevel="1" x14ac:dyDescent="0.3"/>
    <row r="62" spans="1:14" ht="17.399999999999999" outlineLevel="1" x14ac:dyDescent="0.35">
      <c r="B62" s="34" t="s">
        <v>55</v>
      </c>
      <c r="C62" s="4"/>
      <c r="D62" s="4"/>
      <c r="E62" s="4"/>
      <c r="F62" s="4"/>
      <c r="G62" s="4"/>
      <c r="H62" s="4"/>
      <c r="I62" s="4"/>
      <c r="J62" s="4"/>
      <c r="K62" s="4"/>
      <c r="L62" s="4"/>
      <c r="M62" s="4"/>
      <c r="N62" s="4"/>
    </row>
    <row r="63" spans="1:14" outlineLevel="1" x14ac:dyDescent="0.3"/>
    <row r="64" spans="1:14" outlineLevel="1" x14ac:dyDescent="0.3">
      <c r="B64" s="1" t="s">
        <v>47</v>
      </c>
      <c r="I64" s="23">
        <v>15</v>
      </c>
      <c r="J64" s="24">
        <f>$H$22*J29</f>
        <v>10.8</v>
      </c>
      <c r="K64" s="24">
        <f>$H$22*K29</f>
        <v>11.664000000000001</v>
      </c>
      <c r="L64" s="24">
        <f>$H$22*L29</f>
        <v>12.597120000000002</v>
      </c>
      <c r="M64" s="24">
        <f>$H$22*M29</f>
        <v>13.604889600000003</v>
      </c>
      <c r="N64" s="24">
        <f>$H$22*N29</f>
        <v>14.693280768000005</v>
      </c>
    </row>
    <row r="65" spans="1:14" outlineLevel="1" x14ac:dyDescent="0.3">
      <c r="B65" t="s">
        <v>54</v>
      </c>
      <c r="J65" s="29">
        <f>I64-J64</f>
        <v>4.1999999999999993</v>
      </c>
      <c r="K65" s="29">
        <f t="shared" ref="K65:N65" si="18">J64-K64</f>
        <v>-0.86400000000000077</v>
      </c>
      <c r="L65" s="29">
        <f t="shared" si="18"/>
        <v>-0.93312000000000062</v>
      </c>
      <c r="M65" s="29">
        <f t="shared" si="18"/>
        <v>-1.0077696000000014</v>
      </c>
      <c r="N65" s="29">
        <f t="shared" si="18"/>
        <v>-1.0883911680000011</v>
      </c>
    </row>
    <row r="66" spans="1:14" outlineLevel="1" x14ac:dyDescent="0.3"/>
    <row r="67" spans="1:14" outlineLevel="1" x14ac:dyDescent="0.3">
      <c r="B67" t="s">
        <v>13</v>
      </c>
      <c r="J67">
        <f>$H$10</f>
        <v>600</v>
      </c>
      <c r="K67">
        <f>$H$10</f>
        <v>600</v>
      </c>
      <c r="L67">
        <f>$H$10</f>
        <v>600</v>
      </c>
      <c r="M67">
        <f>$H$10</f>
        <v>600</v>
      </c>
      <c r="N67">
        <f>$H$10</f>
        <v>600</v>
      </c>
    </row>
    <row r="68" spans="1:14" outlineLevel="1" x14ac:dyDescent="0.3">
      <c r="B68" s="15" t="s">
        <v>28</v>
      </c>
      <c r="I68" s="21"/>
      <c r="J68" s="22">
        <f>$H$19</f>
        <v>0.1</v>
      </c>
      <c r="K68" s="22">
        <f>$H$19</f>
        <v>0.1</v>
      </c>
      <c r="L68" s="22">
        <f>$H$19</f>
        <v>0.1</v>
      </c>
      <c r="M68" s="22">
        <f>$H$19</f>
        <v>0.1</v>
      </c>
      <c r="N68" s="22">
        <f>$H$19</f>
        <v>0.1</v>
      </c>
    </row>
    <row r="69" spans="1:14" outlineLevel="1" x14ac:dyDescent="0.3">
      <c r="B69" s="1" t="s">
        <v>43</v>
      </c>
      <c r="J69" s="29">
        <f>J68*J67</f>
        <v>60</v>
      </c>
      <c r="K69" s="29">
        <f t="shared" ref="K69:N69" si="19">K68*K67</f>
        <v>60</v>
      </c>
      <c r="L69" s="29">
        <f t="shared" si="19"/>
        <v>60</v>
      </c>
      <c r="M69" s="29">
        <f t="shared" si="19"/>
        <v>60</v>
      </c>
      <c r="N69" s="29">
        <f t="shared" si="19"/>
        <v>60</v>
      </c>
    </row>
    <row r="70" spans="1:14" outlineLevel="1" x14ac:dyDescent="0.3"/>
    <row r="71" spans="1:14" outlineLevel="1" x14ac:dyDescent="0.3">
      <c r="B71" t="s">
        <v>51</v>
      </c>
      <c r="N71" s="29">
        <f>N67-N60</f>
        <v>535.95133870079997</v>
      </c>
    </row>
    <row r="73" spans="1:14" ht="18" x14ac:dyDescent="0.35">
      <c r="A73" t="s">
        <v>74</v>
      </c>
      <c r="B73" s="2" t="s">
        <v>58</v>
      </c>
      <c r="C73" s="2"/>
      <c r="D73" s="2"/>
      <c r="E73" s="2"/>
      <c r="F73" s="2"/>
      <c r="G73" s="2"/>
      <c r="H73" s="2"/>
      <c r="I73" s="2"/>
      <c r="J73" s="2"/>
      <c r="K73" s="2"/>
      <c r="L73" s="2"/>
      <c r="M73" s="2"/>
      <c r="N73" s="2"/>
    </row>
    <row r="74" spans="1:14" outlineLevel="1" x14ac:dyDescent="0.3"/>
    <row r="75" spans="1:14" ht="18" outlineLevel="1" x14ac:dyDescent="0.35">
      <c r="B75" s="2" t="s">
        <v>59</v>
      </c>
      <c r="C75" s="2"/>
      <c r="D75" s="2"/>
      <c r="E75" s="2"/>
      <c r="G75" s="2" t="s">
        <v>64</v>
      </c>
      <c r="H75" s="2"/>
      <c r="I75" s="2"/>
      <c r="K75" s="2" t="s">
        <v>71</v>
      </c>
      <c r="L75" s="2"/>
      <c r="M75" s="2"/>
    </row>
    <row r="76" spans="1:14" outlineLevel="1" x14ac:dyDescent="0.3"/>
    <row r="77" spans="1:14" outlineLevel="1" x14ac:dyDescent="0.3">
      <c r="B77" t="s">
        <v>60</v>
      </c>
      <c r="D77" s="27">
        <f>(N32-I32)*D9</f>
        <v>469.32807680000053</v>
      </c>
      <c r="E77" s="26">
        <f>D77/$D$80</f>
        <v>0.68987430752930268</v>
      </c>
      <c r="G77" t="s">
        <v>65</v>
      </c>
      <c r="I77" s="7">
        <f>D10</f>
        <v>11</v>
      </c>
      <c r="K77" t="s">
        <v>72</v>
      </c>
      <c r="M77" s="27">
        <f>H11</f>
        <v>400</v>
      </c>
    </row>
    <row r="78" spans="1:14" outlineLevel="1" x14ac:dyDescent="0.3">
      <c r="B78" t="s">
        <v>61</v>
      </c>
      <c r="D78" s="27">
        <f>(D10-D9)*N32</f>
        <v>146.93280768000005</v>
      </c>
      <c r="E78" s="26">
        <f t="shared" ref="E78:E80" si="20">D78/$D$80</f>
        <v>0.21597934145067568</v>
      </c>
      <c r="G78" t="s">
        <v>66</v>
      </c>
      <c r="I78" s="27">
        <f>N32</f>
        <v>146.93280768000005</v>
      </c>
      <c r="K78" t="s">
        <v>69</v>
      </c>
      <c r="M78" s="27">
        <f>I81</f>
        <v>1080.3095457792006</v>
      </c>
    </row>
    <row r="79" spans="1:14" ht="15" outlineLevel="1" thickBot="1" x14ac:dyDescent="0.35">
      <c r="B79" s="4" t="s">
        <v>62</v>
      </c>
      <c r="C79" s="4"/>
      <c r="D79" s="35">
        <f>H10-N71</f>
        <v>64.048661299200035</v>
      </c>
      <c r="E79" s="36">
        <f t="shared" si="20"/>
        <v>9.4146351020021529E-2</v>
      </c>
      <c r="G79" t="s">
        <v>67</v>
      </c>
      <c r="I79" s="27">
        <f>I78*I77</f>
        <v>1616.2608844800006</v>
      </c>
      <c r="K79" t="s">
        <v>73</v>
      </c>
      <c r="M79" s="39">
        <f>N52</f>
        <v>5</v>
      </c>
    </row>
    <row r="80" spans="1:14" outlineLevel="1" x14ac:dyDescent="0.3">
      <c r="B80" s="1" t="s">
        <v>63</v>
      </c>
      <c r="D80" s="28">
        <f>SUM(D77:D79)</f>
        <v>680.30954577920068</v>
      </c>
      <c r="E80" s="37">
        <f t="shared" si="20"/>
        <v>1</v>
      </c>
      <c r="G80" t="s">
        <v>68</v>
      </c>
      <c r="I80" s="27">
        <f>N71</f>
        <v>535.95133870079997</v>
      </c>
      <c r="K80" s="40" t="s">
        <v>39</v>
      </c>
      <c r="L80" s="41"/>
      <c r="M80" s="42">
        <f>(M78/M77)^(1/M79)-1</f>
        <v>0.21982532184822601</v>
      </c>
    </row>
    <row r="81" spans="1:13" ht="15" outlineLevel="1" thickBot="1" x14ac:dyDescent="0.35">
      <c r="G81" s="3" t="s">
        <v>69</v>
      </c>
      <c r="H81" s="4"/>
      <c r="I81" s="29">
        <f>I79-I80</f>
        <v>1080.3095457792006</v>
      </c>
      <c r="K81" s="43" t="s">
        <v>40</v>
      </c>
      <c r="L81" s="44"/>
      <c r="M81" s="45">
        <f>M78/M77</f>
        <v>2.7007738644480015</v>
      </c>
    </row>
    <row r="82" spans="1:13" outlineLevel="1" x14ac:dyDescent="0.3">
      <c r="B82" s="38" t="s">
        <v>70</v>
      </c>
      <c r="C82" s="38" t="str">
        <f>IF(ROUND(D80-(I81-H11),4)=0,"OK","ERROR")</f>
        <v>OK</v>
      </c>
    </row>
    <row r="83" spans="1:13" outlineLevel="1" x14ac:dyDescent="0.3"/>
    <row r="84" spans="1:13" outlineLevel="1" x14ac:dyDescent="0.3"/>
    <row r="85" spans="1:13" outlineLevel="1" x14ac:dyDescent="0.3"/>
    <row r="86" spans="1:13" outlineLevel="1" x14ac:dyDescent="0.3">
      <c r="A86" t="s">
        <v>74</v>
      </c>
    </row>
    <row r="87" spans="1:13" x14ac:dyDescent="0.3">
      <c r="A87" s="4" t="s">
        <v>74</v>
      </c>
      <c r="B87" s="4"/>
      <c r="C87" s="4"/>
      <c r="D87" s="4"/>
      <c r="E87" s="4"/>
      <c r="F87" s="4"/>
      <c r="G87" s="4"/>
      <c r="H87" s="4"/>
      <c r="I87" s="4"/>
      <c r="J87" s="4"/>
      <c r="K87" s="4"/>
      <c r="L87" s="4"/>
      <c r="M87" s="4"/>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9024F-7C39-469C-B4A9-006845860F75}">
  <dimension ref="B2:AF107"/>
  <sheetViews>
    <sheetView showGridLines="0" zoomScale="120" workbookViewId="0">
      <selection activeCell="B2" sqref="B2"/>
    </sheetView>
  </sheetViews>
  <sheetFormatPr defaultRowHeight="14.4" outlineLevelRow="1" x14ac:dyDescent="0.3"/>
  <cols>
    <col min="1" max="1" width="4.77734375" customWidth="1"/>
    <col min="4" max="4" width="13.77734375" customWidth="1"/>
    <col min="5" max="16" width="11.77734375" customWidth="1"/>
  </cols>
  <sheetData>
    <row r="2" spans="2:16" ht="25.8" x14ac:dyDescent="0.5">
      <c r="B2" s="126" t="s">
        <v>125</v>
      </c>
      <c r="C2" s="127"/>
      <c r="D2" s="127"/>
      <c r="E2" s="127"/>
      <c r="F2" s="127"/>
      <c r="G2" s="127"/>
      <c r="H2" s="127"/>
      <c r="I2" s="127"/>
      <c r="J2" s="127"/>
      <c r="K2" s="127"/>
      <c r="L2" s="127"/>
      <c r="M2" s="127"/>
      <c r="N2" s="127"/>
      <c r="O2" s="127"/>
      <c r="P2" s="127"/>
    </row>
    <row r="4" spans="2:16" x14ac:dyDescent="0.3">
      <c r="B4" t="s">
        <v>105</v>
      </c>
    </row>
    <row r="6" spans="2:16" x14ac:dyDescent="0.3">
      <c r="B6" s="1" t="s">
        <v>151</v>
      </c>
    </row>
    <row r="8" spans="2:16" x14ac:dyDescent="0.3">
      <c r="B8" s="1" t="s">
        <v>106</v>
      </c>
    </row>
    <row r="12" spans="2:16" ht="15.6" x14ac:dyDescent="0.3">
      <c r="B12" s="109" t="s">
        <v>128</v>
      </c>
    </row>
    <row r="13" spans="2:16" ht="18" x14ac:dyDescent="0.35">
      <c r="B13" s="110" t="s">
        <v>107</v>
      </c>
    </row>
    <row r="14" spans="2:16" outlineLevel="1" x14ac:dyDescent="0.3">
      <c r="B14" s="9"/>
    </row>
    <row r="15" spans="2:16" ht="18" outlineLevel="1" x14ac:dyDescent="0.35">
      <c r="B15" s="111" t="s">
        <v>49</v>
      </c>
      <c r="C15" s="87"/>
      <c r="D15" s="87"/>
      <c r="E15" s="87"/>
      <c r="F15" s="87"/>
      <c r="G15" s="89"/>
      <c r="H15" s="89"/>
      <c r="I15" s="89"/>
      <c r="J15" s="89"/>
      <c r="K15" s="89"/>
      <c r="L15" s="89"/>
      <c r="M15" s="89"/>
      <c r="N15" s="89"/>
      <c r="O15" s="89"/>
      <c r="P15" s="89"/>
    </row>
    <row r="16" spans="2:16" outlineLevel="1" x14ac:dyDescent="0.3">
      <c r="B16" s="93"/>
      <c r="C16" s="73"/>
      <c r="D16" s="73"/>
      <c r="E16" s="73"/>
      <c r="F16" s="73"/>
      <c r="G16" s="73"/>
      <c r="H16" s="73"/>
      <c r="I16" s="73"/>
      <c r="J16" s="73"/>
      <c r="K16" s="73"/>
      <c r="L16" s="73"/>
      <c r="M16" s="73"/>
      <c r="N16" s="73"/>
      <c r="O16" s="73"/>
      <c r="P16" s="73"/>
    </row>
    <row r="17" spans="2:16" ht="15" outlineLevel="1" thickBot="1" x14ac:dyDescent="0.35">
      <c r="B17" s="112" t="s">
        <v>108</v>
      </c>
      <c r="C17" s="73"/>
      <c r="D17" s="73"/>
      <c r="E17" s="73"/>
      <c r="F17" s="73"/>
      <c r="G17" s="73"/>
      <c r="H17" s="73"/>
      <c r="I17" s="73"/>
      <c r="J17" s="76">
        <v>2024</v>
      </c>
      <c r="K17" s="80">
        <v>2025</v>
      </c>
      <c r="L17" s="76">
        <v>2026</v>
      </c>
      <c r="M17" s="76">
        <v>2027</v>
      </c>
      <c r="N17" s="76">
        <v>2028</v>
      </c>
      <c r="O17" s="76">
        <v>2029</v>
      </c>
      <c r="P17" s="76">
        <v>2030</v>
      </c>
    </row>
    <row r="18" spans="2:16" outlineLevel="1" x14ac:dyDescent="0.3">
      <c r="B18" s="113"/>
      <c r="C18" s="73"/>
      <c r="D18" s="73"/>
      <c r="E18" s="73"/>
      <c r="F18" s="73"/>
      <c r="G18" s="73"/>
      <c r="H18" s="73"/>
      <c r="I18" s="73"/>
      <c r="J18" s="73"/>
      <c r="K18" s="73"/>
      <c r="L18" s="73"/>
      <c r="M18" s="73"/>
      <c r="N18" s="73"/>
      <c r="O18" s="73"/>
      <c r="P18" s="73"/>
    </row>
    <row r="19" spans="2:16" outlineLevel="1" x14ac:dyDescent="0.3">
      <c r="B19" s="114" t="s">
        <v>109</v>
      </c>
      <c r="C19" s="73"/>
      <c r="D19" s="73"/>
      <c r="E19" s="73"/>
      <c r="F19" s="73"/>
      <c r="G19" s="73"/>
      <c r="H19" s="73"/>
      <c r="I19" s="73"/>
      <c r="J19" s="73"/>
      <c r="K19" s="73"/>
      <c r="L19" s="73"/>
      <c r="M19" s="73"/>
      <c r="N19" s="73"/>
      <c r="O19" s="73"/>
      <c r="P19" s="73"/>
    </row>
    <row r="20" spans="2:16" outlineLevel="1" x14ac:dyDescent="0.3">
      <c r="B20" s="113" t="s">
        <v>45</v>
      </c>
      <c r="C20" s="73"/>
      <c r="D20" s="73"/>
      <c r="E20" s="73"/>
      <c r="F20" s="73"/>
      <c r="G20" s="73"/>
      <c r="H20" s="73"/>
      <c r="I20" s="73"/>
      <c r="J20" s="77">
        <v>14388.055702522986</v>
      </c>
      <c r="K20" s="77">
        <v>10736.488343167697</v>
      </c>
      <c r="L20" s="77">
        <v>5172.3197430707314</v>
      </c>
      <c r="M20" s="77">
        <v>6906.6518888545688</v>
      </c>
      <c r="N20" s="77">
        <v>8823.2578437787288</v>
      </c>
      <c r="O20" s="77">
        <v>10885.544714861418</v>
      </c>
      <c r="P20" s="77">
        <v>15044.026985814262</v>
      </c>
    </row>
    <row r="21" spans="2:16" outlineLevel="1" x14ac:dyDescent="0.3">
      <c r="B21" s="113" t="s">
        <v>110</v>
      </c>
      <c r="C21" s="73"/>
      <c r="D21" s="73"/>
      <c r="E21" s="73"/>
      <c r="F21" s="73"/>
      <c r="G21" s="73"/>
      <c r="H21" s="73"/>
      <c r="I21" s="73"/>
      <c r="J21" s="77">
        <v>0</v>
      </c>
      <c r="K21" s="77">
        <v>2696.4969863810043</v>
      </c>
      <c r="L21" s="77">
        <v>5604.6738285425599</v>
      </c>
      <c r="M21" s="77">
        <v>5897.9918021245712</v>
      </c>
      <c r="N21" s="77">
        <v>6206.6604341495613</v>
      </c>
      <c r="O21" s="77">
        <v>6531.4830941204473</v>
      </c>
      <c r="P21" s="77">
        <v>6873.30519550592</v>
      </c>
    </row>
    <row r="22" spans="2:16" outlineLevel="1" x14ac:dyDescent="0.3">
      <c r="B22" s="113" t="s">
        <v>111</v>
      </c>
      <c r="C22" s="73"/>
      <c r="D22" s="73"/>
      <c r="E22" s="73"/>
      <c r="F22" s="73"/>
      <c r="G22" s="73"/>
      <c r="H22" s="73"/>
      <c r="I22" s="73"/>
      <c r="J22" s="77">
        <v>-1262.9389333502331</v>
      </c>
      <c r="K22" s="77">
        <v>2158.1385861722956</v>
      </c>
      <c r="L22" s="77">
        <v>-3561.1985965834901</v>
      </c>
      <c r="M22" s="77">
        <v>-2530.1213515276322</v>
      </c>
      <c r="N22" s="77">
        <v>-1721.9185514947312</v>
      </c>
      <c r="O22" s="77">
        <v>-2875.6586036788358</v>
      </c>
      <c r="P22" s="77">
        <v>-2435.4155093820737</v>
      </c>
    </row>
    <row r="23" spans="2:16" outlineLevel="1" x14ac:dyDescent="0.3">
      <c r="B23" s="113" t="s">
        <v>112</v>
      </c>
      <c r="C23" s="73"/>
      <c r="D23" s="73"/>
      <c r="E23" s="73"/>
      <c r="F23" s="73"/>
      <c r="G23" s="73"/>
      <c r="H23" s="73"/>
      <c r="I23" s="73"/>
      <c r="J23" s="78">
        <v>4876.2529143510747</v>
      </c>
      <c r="K23" s="78">
        <v>5744.8096706832821</v>
      </c>
      <c r="L23" s="78">
        <v>6720.211826126324</v>
      </c>
      <c r="M23" s="78">
        <v>7795.2666341611794</v>
      </c>
      <c r="N23" s="78">
        <v>8961.6933690909664</v>
      </c>
      <c r="O23" s="78">
        <v>10205.646890989297</v>
      </c>
      <c r="P23" s="78">
        <v>11508.121480492566</v>
      </c>
    </row>
    <row r="24" spans="2:16" outlineLevel="1" x14ac:dyDescent="0.3">
      <c r="B24" s="114" t="s">
        <v>113</v>
      </c>
      <c r="C24" s="73"/>
      <c r="D24" s="73"/>
      <c r="E24" s="73"/>
      <c r="F24" s="73"/>
      <c r="G24" s="73"/>
      <c r="H24" s="73"/>
      <c r="I24" s="73"/>
      <c r="J24" s="79">
        <v>18001.36968352383</v>
      </c>
      <c r="K24" s="79">
        <v>21335.933586404281</v>
      </c>
      <c r="L24" s="79">
        <v>13936.006801156125</v>
      </c>
      <c r="M24" s="79">
        <v>18069.788973612689</v>
      </c>
      <c r="N24" s="79">
        <v>22269.693095524526</v>
      </c>
      <c r="O24" s="79">
        <v>24747.016096292329</v>
      </c>
      <c r="P24" s="79">
        <v>30990.038152430676</v>
      </c>
    </row>
    <row r="25" spans="2:16" outlineLevel="1" x14ac:dyDescent="0.3">
      <c r="B25" s="9"/>
    </row>
    <row r="26" spans="2:16" outlineLevel="1" x14ac:dyDescent="0.3">
      <c r="B26" s="9"/>
    </row>
    <row r="27" spans="2:16" ht="18" outlineLevel="1" x14ac:dyDescent="0.35">
      <c r="B27" s="111" t="s">
        <v>114</v>
      </c>
      <c r="C27" s="90"/>
      <c r="D27" s="90"/>
      <c r="E27" s="90"/>
      <c r="F27" s="90"/>
      <c r="G27" s="91"/>
      <c r="H27" s="91"/>
      <c r="I27" s="91"/>
      <c r="J27" s="91"/>
      <c r="K27" s="91"/>
      <c r="L27" s="91"/>
      <c r="M27" s="91"/>
      <c r="N27" s="91"/>
      <c r="O27" s="91"/>
      <c r="P27" s="91"/>
    </row>
    <row r="28" spans="2:16" outlineLevel="1" x14ac:dyDescent="0.3">
      <c r="B28" s="93"/>
      <c r="C28" s="73"/>
      <c r="D28" s="73"/>
      <c r="E28" s="73"/>
      <c r="F28" s="73"/>
      <c r="G28" s="73"/>
      <c r="H28" s="73"/>
      <c r="I28" s="73"/>
      <c r="J28" s="73"/>
      <c r="K28" s="73"/>
      <c r="L28" s="73"/>
      <c r="M28" s="73"/>
      <c r="N28" s="73"/>
      <c r="O28" s="73"/>
      <c r="P28" s="73"/>
    </row>
    <row r="29" spans="2:16" ht="15" outlineLevel="1" thickBot="1" x14ac:dyDescent="0.35">
      <c r="B29" s="112" t="s">
        <v>108</v>
      </c>
      <c r="C29" s="73"/>
      <c r="D29" s="73"/>
      <c r="E29" s="73"/>
      <c r="F29" s="73"/>
      <c r="G29" s="73"/>
      <c r="H29" s="73"/>
      <c r="I29" s="73"/>
      <c r="J29" s="73"/>
      <c r="K29" s="80">
        <v>2025</v>
      </c>
      <c r="L29" s="76">
        <v>2026</v>
      </c>
      <c r="M29" s="76">
        <v>2027</v>
      </c>
      <c r="N29" s="76">
        <v>2028</v>
      </c>
      <c r="O29" s="76">
        <v>2029</v>
      </c>
      <c r="P29" s="76">
        <v>2030</v>
      </c>
    </row>
    <row r="30" spans="2:16" outlineLevel="1" x14ac:dyDescent="0.3">
      <c r="B30" s="113"/>
      <c r="C30" s="73"/>
      <c r="D30" s="73"/>
      <c r="E30" s="73"/>
      <c r="F30" s="73"/>
      <c r="G30" s="73"/>
      <c r="H30" s="73"/>
      <c r="I30" s="73"/>
      <c r="J30" s="73"/>
      <c r="K30" s="73"/>
      <c r="L30" s="73"/>
      <c r="M30" s="73"/>
      <c r="N30" s="73"/>
      <c r="O30" s="73"/>
      <c r="P30" s="73"/>
    </row>
    <row r="31" spans="2:16" ht="15.6" outlineLevel="1" x14ac:dyDescent="0.3">
      <c r="B31" s="115" t="s">
        <v>115</v>
      </c>
      <c r="C31" s="73"/>
      <c r="D31" s="73"/>
      <c r="E31" s="73"/>
      <c r="F31" s="73"/>
      <c r="G31" s="73"/>
      <c r="H31" s="73"/>
      <c r="I31" s="73"/>
      <c r="J31" s="73"/>
      <c r="K31" s="73"/>
      <c r="L31" s="73"/>
      <c r="M31" s="73"/>
      <c r="N31" s="73"/>
      <c r="O31" s="73"/>
      <c r="P31" s="73"/>
    </row>
    <row r="32" spans="2:16" outlineLevel="1" x14ac:dyDescent="0.3">
      <c r="B32" s="113" t="s">
        <v>116</v>
      </c>
      <c r="C32" s="73"/>
      <c r="D32" s="73"/>
      <c r="E32" s="73"/>
      <c r="F32" s="73"/>
      <c r="G32" s="81" t="s">
        <v>117</v>
      </c>
      <c r="H32" s="73"/>
      <c r="I32" s="73"/>
      <c r="J32" s="73"/>
      <c r="K32" s="82">
        <v>10000</v>
      </c>
      <c r="L32" s="77">
        <v>13519.630462657369</v>
      </c>
      <c r="M32" s="77">
        <v>10000.000000000002</v>
      </c>
      <c r="N32" s="77">
        <v>10000.000000000002</v>
      </c>
      <c r="O32" s="77">
        <v>10000.000000000002</v>
      </c>
      <c r="P32" s="77">
        <v>10000.000000000002</v>
      </c>
    </row>
    <row r="33" spans="2:16" outlineLevel="1" x14ac:dyDescent="0.3">
      <c r="B33" s="113" t="s">
        <v>118</v>
      </c>
      <c r="C33" s="73"/>
      <c r="D33" s="73"/>
      <c r="E33" s="73"/>
      <c r="F33" s="73"/>
      <c r="G33" s="83">
        <v>0.5</v>
      </c>
      <c r="H33" s="73"/>
      <c r="I33" s="73"/>
      <c r="J33" s="73"/>
      <c r="K33" s="77">
        <v>10667.96679320214</v>
      </c>
      <c r="L33" s="77">
        <v>13936.006801156125</v>
      </c>
      <c r="M33" s="77">
        <v>18069.788973612689</v>
      </c>
      <c r="N33" s="77">
        <v>22269.693095524526</v>
      </c>
      <c r="O33" s="77">
        <v>24747.016096292329</v>
      </c>
      <c r="P33" s="77">
        <v>30990.038152430676</v>
      </c>
    </row>
    <row r="34" spans="2:16" outlineLevel="1" x14ac:dyDescent="0.3">
      <c r="B34" s="113" t="s">
        <v>119</v>
      </c>
      <c r="C34" s="73"/>
      <c r="D34" s="73"/>
      <c r="E34" s="73"/>
      <c r="F34" s="73"/>
      <c r="G34" s="73"/>
      <c r="H34" s="73"/>
      <c r="I34" s="73"/>
      <c r="J34" s="73"/>
      <c r="K34" s="77">
        <v>-7148.3363305447729</v>
      </c>
      <c r="L34" s="77">
        <v>-14972.548700735206</v>
      </c>
      <c r="M34" s="77">
        <v>-15659.011911678383</v>
      </c>
      <c r="N34" s="77">
        <v>-16326.975044324416</v>
      </c>
      <c r="O34" s="77">
        <v>-16947.293729799683</v>
      </c>
      <c r="P34" s="77">
        <v>-17492.344650348699</v>
      </c>
    </row>
    <row r="35" spans="2:16" outlineLevel="1" x14ac:dyDescent="0.3">
      <c r="B35" s="113" t="s">
        <v>120</v>
      </c>
      <c r="C35" s="73"/>
      <c r="D35" s="73"/>
      <c r="E35" s="73"/>
      <c r="F35" s="73"/>
      <c r="G35" s="73"/>
      <c r="H35" s="73"/>
      <c r="I35" s="73"/>
      <c r="J35" s="73"/>
      <c r="K35" s="77">
        <v>-5080.640926424554</v>
      </c>
      <c r="L35" s="77">
        <v>-4992.2516938689487</v>
      </c>
      <c r="M35" s="77">
        <v>-9810.9960202094535</v>
      </c>
      <c r="N35" s="77">
        <v>-9470.3979258491763</v>
      </c>
      <c r="O35" s="77">
        <v>-9142.3869203343493</v>
      </c>
      <c r="P35" s="77">
        <v>-8826.480256809733</v>
      </c>
    </row>
    <row r="36" spans="2:16" outlineLevel="1" x14ac:dyDescent="0.3">
      <c r="B36" s="113" t="s">
        <v>121</v>
      </c>
      <c r="C36" s="73"/>
      <c r="D36" s="73"/>
      <c r="E36" s="73"/>
      <c r="F36" s="73"/>
      <c r="G36" s="73"/>
      <c r="H36" s="73"/>
      <c r="I36" s="73"/>
      <c r="J36" s="73"/>
      <c r="K36" s="77">
        <v>0</v>
      </c>
      <c r="L36" s="84">
        <v>0</v>
      </c>
      <c r="M36" s="84">
        <v>0</v>
      </c>
      <c r="N36" s="84">
        <v>0</v>
      </c>
      <c r="O36" s="84">
        <v>0</v>
      </c>
      <c r="P36" s="84">
        <v>0</v>
      </c>
    </row>
    <row r="37" spans="2:16" outlineLevel="1" x14ac:dyDescent="0.3">
      <c r="B37" s="113" t="s">
        <v>122</v>
      </c>
      <c r="C37" s="73"/>
      <c r="D37" s="73"/>
      <c r="E37" s="73"/>
      <c r="F37" s="73"/>
      <c r="G37" s="73"/>
      <c r="H37" s="73"/>
      <c r="I37" s="73"/>
      <c r="J37" s="73"/>
      <c r="K37" s="77">
        <v>0</v>
      </c>
      <c r="L37" s="84">
        <v>0</v>
      </c>
      <c r="M37" s="84">
        <v>0</v>
      </c>
      <c r="N37" s="84">
        <v>0</v>
      </c>
      <c r="O37" s="84">
        <v>0</v>
      </c>
      <c r="P37" s="84">
        <v>0</v>
      </c>
    </row>
    <row r="38" spans="2:16" outlineLevel="1" x14ac:dyDescent="0.3">
      <c r="B38" s="113" t="s">
        <v>123</v>
      </c>
      <c r="C38" s="73"/>
      <c r="D38" s="73"/>
      <c r="E38" s="73"/>
      <c r="F38" s="73"/>
      <c r="G38" s="73"/>
      <c r="H38" s="73"/>
      <c r="I38" s="73"/>
      <c r="J38" s="73"/>
      <c r="K38" s="85">
        <v>-10000</v>
      </c>
      <c r="L38" s="85">
        <v>-10000</v>
      </c>
      <c r="M38" s="85">
        <v>-10000</v>
      </c>
      <c r="N38" s="85">
        <v>-10000</v>
      </c>
      <c r="O38" s="85">
        <v>-10000</v>
      </c>
      <c r="P38" s="85">
        <v>-10000</v>
      </c>
    </row>
    <row r="39" spans="2:16" outlineLevel="1" x14ac:dyDescent="0.3">
      <c r="B39" s="114" t="s">
        <v>124</v>
      </c>
      <c r="C39" s="74"/>
      <c r="D39" s="74"/>
      <c r="E39" s="74"/>
      <c r="F39" s="74"/>
      <c r="G39" s="74"/>
      <c r="H39" s="73"/>
      <c r="I39" s="73"/>
      <c r="J39" s="73"/>
      <c r="K39" s="79">
        <v>-1561.0104637671866</v>
      </c>
      <c r="L39" s="79">
        <v>-2509.1631307906619</v>
      </c>
      <c r="M39" s="79">
        <v>-7400.2189582751471</v>
      </c>
      <c r="N39" s="79">
        <v>-3527.6798746490658</v>
      </c>
      <c r="O39" s="79">
        <v>-1342.6645538416997</v>
      </c>
      <c r="P39" s="79">
        <v>4671.2132452722471</v>
      </c>
    </row>
    <row r="42" spans="2:16" x14ac:dyDescent="0.3">
      <c r="B42" s="92" t="s">
        <v>133</v>
      </c>
      <c r="F42" s="140" t="s">
        <v>152</v>
      </c>
      <c r="G42" s="140"/>
      <c r="H42" s="140"/>
      <c r="I42" s="140"/>
      <c r="J42" s="140"/>
      <c r="K42" s="140"/>
      <c r="L42" s="140"/>
      <c r="M42" s="140"/>
      <c r="N42" s="140"/>
    </row>
    <row r="43" spans="2:16" x14ac:dyDescent="0.3">
      <c r="F43" s="140"/>
      <c r="G43" s="140"/>
      <c r="H43" s="140"/>
      <c r="I43" s="140"/>
      <c r="J43" s="140"/>
      <c r="K43" s="140"/>
      <c r="L43" s="140"/>
      <c r="M43" s="140"/>
      <c r="N43" s="140"/>
    </row>
    <row r="44" spans="2:16" ht="18" x14ac:dyDescent="0.35">
      <c r="B44" s="72" t="s">
        <v>130</v>
      </c>
      <c r="C44" s="72"/>
      <c r="D44" s="72"/>
      <c r="E44" s="72"/>
      <c r="F44" s="72"/>
      <c r="G44" s="75"/>
      <c r="H44" s="75"/>
      <c r="I44" s="75"/>
      <c r="J44" s="75"/>
      <c r="K44" s="75"/>
      <c r="L44" s="75"/>
      <c r="M44" s="75"/>
      <c r="N44" s="75"/>
    </row>
    <row r="46" spans="2:16" x14ac:dyDescent="0.3">
      <c r="F46" s="94">
        <v>2022</v>
      </c>
      <c r="G46" s="94">
        <f>F46+1</f>
        <v>2023</v>
      </c>
      <c r="H46" s="94">
        <f t="shared" ref="H46:N46" si="0">G46+1</f>
        <v>2024</v>
      </c>
      <c r="I46" s="95">
        <f t="shared" si="0"/>
        <v>2025</v>
      </c>
      <c r="J46" s="95">
        <f t="shared" si="0"/>
        <v>2026</v>
      </c>
      <c r="K46" s="95">
        <f t="shared" si="0"/>
        <v>2027</v>
      </c>
      <c r="L46" s="95">
        <f t="shared" si="0"/>
        <v>2028</v>
      </c>
      <c r="M46" s="95">
        <f t="shared" si="0"/>
        <v>2029</v>
      </c>
      <c r="N46" s="95">
        <f t="shared" si="0"/>
        <v>2030</v>
      </c>
    </row>
    <row r="48" spans="2:16" x14ac:dyDescent="0.3">
      <c r="B48" t="s">
        <v>31</v>
      </c>
      <c r="D48" s="124" t="s">
        <v>32</v>
      </c>
      <c r="E48" s="125">
        <v>7.4999999999999997E-2</v>
      </c>
      <c r="F48" s="96">
        <v>1000</v>
      </c>
      <c r="G48" s="96">
        <v>1100</v>
      </c>
      <c r="H48" s="96">
        <v>1195</v>
      </c>
      <c r="I48" s="77">
        <f>(1+$E$48)*H48</f>
        <v>1284.625</v>
      </c>
      <c r="J48" s="77">
        <f t="shared" ref="J48:N48" si="1">(1+$E$48)*I48</f>
        <v>1380.971875</v>
      </c>
      <c r="K48" s="77">
        <f t="shared" si="1"/>
        <v>1484.5447656249999</v>
      </c>
      <c r="L48" s="77">
        <f t="shared" si="1"/>
        <v>1595.8856230468748</v>
      </c>
      <c r="M48" s="77">
        <f t="shared" si="1"/>
        <v>1715.5770447753903</v>
      </c>
      <c r="N48" s="77">
        <f t="shared" si="1"/>
        <v>1844.2453231335444</v>
      </c>
    </row>
    <row r="49" spans="2:14" x14ac:dyDescent="0.3">
      <c r="B49" t="s">
        <v>132</v>
      </c>
      <c r="F49" s="96">
        <v>600</v>
      </c>
      <c r="G49" s="96">
        <v>704</v>
      </c>
      <c r="H49" s="96">
        <v>795</v>
      </c>
      <c r="I49" s="77">
        <f>I50*I48</f>
        <v>815.85333333333324</v>
      </c>
      <c r="J49" s="77">
        <f t="shared" ref="J49:N49" si="2">J50*J48</f>
        <v>877.0423333333332</v>
      </c>
      <c r="K49" s="77">
        <f t="shared" si="2"/>
        <v>942.82050833333324</v>
      </c>
      <c r="L49" s="77">
        <f t="shared" si="2"/>
        <v>1013.5320464583332</v>
      </c>
      <c r="M49" s="77">
        <f t="shared" si="2"/>
        <v>1089.5469499427081</v>
      </c>
      <c r="N49" s="77">
        <f t="shared" si="2"/>
        <v>1171.262971188411</v>
      </c>
    </row>
    <row r="50" spans="2:14" x14ac:dyDescent="0.3">
      <c r="B50" s="15" t="s">
        <v>34</v>
      </c>
      <c r="D50" s="123"/>
      <c r="F50" s="128">
        <f>F49/F48</f>
        <v>0.6</v>
      </c>
      <c r="G50" s="128">
        <f t="shared" ref="G50:H50" si="3">G49/G48</f>
        <v>0.64</v>
      </c>
      <c r="H50" s="128">
        <f t="shared" si="3"/>
        <v>0.66527196652719667</v>
      </c>
      <c r="I50" s="128">
        <f>AVERAGE(F50:H50)</f>
        <v>0.63509065550906552</v>
      </c>
      <c r="J50" s="128">
        <f>I50</f>
        <v>0.63509065550906552</v>
      </c>
      <c r="K50" s="128">
        <f t="shared" ref="K50:N50" si="4">J50</f>
        <v>0.63509065550906552</v>
      </c>
      <c r="L50" s="128">
        <f t="shared" si="4"/>
        <v>0.63509065550906552</v>
      </c>
      <c r="M50" s="128">
        <f t="shared" si="4"/>
        <v>0.63509065550906552</v>
      </c>
      <c r="N50" s="128">
        <f t="shared" si="4"/>
        <v>0.63509065550906552</v>
      </c>
    </row>
    <row r="51" spans="2:14" x14ac:dyDescent="0.3">
      <c r="F51" s="96"/>
      <c r="G51" s="96"/>
      <c r="H51" s="96"/>
    </row>
    <row r="52" spans="2:14" x14ac:dyDescent="0.3">
      <c r="B52" t="s">
        <v>48</v>
      </c>
      <c r="F52" s="96">
        <v>55</v>
      </c>
      <c r="G52" s="96">
        <v>63</v>
      </c>
      <c r="H52" s="96">
        <v>75</v>
      </c>
      <c r="I52" s="77">
        <f>I53*I48</f>
        <v>74.951117424242426</v>
      </c>
      <c r="J52" s="77">
        <f t="shared" ref="J52:N52" si="5">J53*J48</f>
        <v>80.572451231060597</v>
      </c>
      <c r="K52" s="77">
        <f t="shared" si="5"/>
        <v>86.615385073390144</v>
      </c>
      <c r="L52" s="77">
        <f t="shared" si="5"/>
        <v>93.111538953894396</v>
      </c>
      <c r="M52" s="77">
        <f t="shared" si="5"/>
        <v>100.09490437543647</v>
      </c>
      <c r="N52" s="77">
        <f t="shared" si="5"/>
        <v>107.60202220359419</v>
      </c>
    </row>
    <row r="53" spans="2:14" x14ac:dyDescent="0.3">
      <c r="B53" t="s">
        <v>134</v>
      </c>
      <c r="F53" s="25">
        <f>F52/F48</f>
        <v>5.5E-2</v>
      </c>
      <c r="G53" s="25">
        <f t="shared" ref="G53:H53" si="6">G52/G48</f>
        <v>5.7272727272727274E-2</v>
      </c>
      <c r="H53" s="25">
        <f t="shared" si="6"/>
        <v>6.2761506276150625E-2</v>
      </c>
      <c r="I53" s="25">
        <f>AVERAGE(F53:H53)</f>
        <v>5.8344744516292631E-2</v>
      </c>
      <c r="J53" s="25">
        <f>I53</f>
        <v>5.8344744516292631E-2</v>
      </c>
      <c r="K53" s="25">
        <f t="shared" ref="K53:N53" si="7">J53</f>
        <v>5.8344744516292631E-2</v>
      </c>
      <c r="L53" s="25">
        <f t="shared" si="7"/>
        <v>5.8344744516292631E-2</v>
      </c>
      <c r="M53" s="25">
        <f t="shared" si="7"/>
        <v>5.8344744516292631E-2</v>
      </c>
      <c r="N53" s="25">
        <f t="shared" si="7"/>
        <v>5.8344744516292631E-2</v>
      </c>
    </row>
    <row r="58" spans="2:14" ht="18" x14ac:dyDescent="0.35">
      <c r="B58" s="72" t="s">
        <v>131</v>
      </c>
      <c r="C58" s="72"/>
      <c r="D58" s="72"/>
      <c r="E58" s="72"/>
      <c r="F58" s="72"/>
      <c r="G58" s="75"/>
      <c r="H58" s="75"/>
      <c r="I58" s="75"/>
      <c r="J58" s="75"/>
      <c r="K58" s="75"/>
      <c r="L58" s="75"/>
      <c r="M58" s="75"/>
      <c r="N58" s="75"/>
    </row>
    <row r="60" spans="2:14" x14ac:dyDescent="0.3">
      <c r="B60" t="s">
        <v>31</v>
      </c>
      <c r="F60" s="77">
        <f>F48</f>
        <v>1000</v>
      </c>
      <c r="G60" s="77">
        <f t="shared" ref="G60:N60" si="8">G48</f>
        <v>1100</v>
      </c>
      <c r="H60" s="77">
        <f t="shared" si="8"/>
        <v>1195</v>
      </c>
      <c r="I60" s="77">
        <f t="shared" si="8"/>
        <v>1284.625</v>
      </c>
      <c r="J60" s="77">
        <f t="shared" si="8"/>
        <v>1380.971875</v>
      </c>
      <c r="K60" s="77">
        <f t="shared" si="8"/>
        <v>1484.5447656249999</v>
      </c>
      <c r="L60" s="77">
        <f t="shared" si="8"/>
        <v>1595.8856230468748</v>
      </c>
      <c r="M60" s="77">
        <f t="shared" si="8"/>
        <v>1715.5770447753903</v>
      </c>
      <c r="N60" s="77">
        <f t="shared" si="8"/>
        <v>1844.2453231335444</v>
      </c>
    </row>
    <row r="62" spans="2:14" x14ac:dyDescent="0.3">
      <c r="B62" t="s">
        <v>35</v>
      </c>
      <c r="F62" s="96">
        <v>45</v>
      </c>
      <c r="G62" s="96">
        <v>57</v>
      </c>
      <c r="H62" s="96">
        <v>69</v>
      </c>
      <c r="I62" s="77">
        <f>I63*I60</f>
        <v>66.183352272727276</v>
      </c>
      <c r="J62" s="77">
        <f t="shared" ref="J62:N62" si="9">J63*J60</f>
        <v>71.147103693181819</v>
      </c>
      <c r="K62" s="77">
        <f t="shared" si="9"/>
        <v>76.48313647017045</v>
      </c>
      <c r="L62" s="77">
        <f t="shared" si="9"/>
        <v>82.219371705433232</v>
      </c>
      <c r="M62" s="77">
        <f t="shared" si="9"/>
        <v>88.385824583340721</v>
      </c>
      <c r="N62" s="77">
        <f t="shared" si="9"/>
        <v>95.014761427091273</v>
      </c>
    </row>
    <row r="63" spans="2:14" x14ac:dyDescent="0.3">
      <c r="B63" t="s">
        <v>135</v>
      </c>
      <c r="F63" s="25">
        <f>F62/F60</f>
        <v>4.4999999999999998E-2</v>
      </c>
      <c r="G63" s="25">
        <f t="shared" ref="G63:H63" si="10">G62/G60</f>
        <v>5.1818181818181819E-2</v>
      </c>
      <c r="H63" s="25">
        <f t="shared" si="10"/>
        <v>5.7740585774058578E-2</v>
      </c>
      <c r="I63" s="25">
        <f>AVERAGE(F63:H63)</f>
        <v>5.1519589197413472E-2</v>
      </c>
      <c r="J63" s="25">
        <f>I63</f>
        <v>5.1519589197413472E-2</v>
      </c>
      <c r="K63" s="25">
        <f t="shared" ref="K63:N63" si="11">J63</f>
        <v>5.1519589197413472E-2</v>
      </c>
      <c r="L63" s="25">
        <f t="shared" si="11"/>
        <v>5.1519589197413472E-2</v>
      </c>
      <c r="M63" s="25">
        <f t="shared" si="11"/>
        <v>5.1519589197413472E-2</v>
      </c>
      <c r="N63" s="25">
        <f t="shared" si="11"/>
        <v>5.1519589197413472E-2</v>
      </c>
    </row>
    <row r="66" spans="2:22" ht="18" x14ac:dyDescent="0.35">
      <c r="B66" s="72" t="s">
        <v>127</v>
      </c>
      <c r="C66" s="72"/>
      <c r="D66" s="72"/>
      <c r="E66" s="72"/>
      <c r="F66" s="72"/>
      <c r="G66" s="75"/>
      <c r="H66" s="75"/>
      <c r="I66" s="75"/>
      <c r="J66" s="75"/>
      <c r="K66" s="75"/>
      <c r="L66" s="75"/>
      <c r="M66" s="75"/>
      <c r="N66" s="75"/>
    </row>
    <row r="68" spans="2:22" x14ac:dyDescent="0.3">
      <c r="F68" s="94">
        <v>2022</v>
      </c>
      <c r="G68" s="94">
        <f>F68+1</f>
        <v>2023</v>
      </c>
      <c r="H68" s="94">
        <f t="shared" ref="H68:N68" si="12">G68+1</f>
        <v>2024</v>
      </c>
      <c r="I68" s="95">
        <f t="shared" si="12"/>
        <v>2025</v>
      </c>
      <c r="J68" s="95">
        <f t="shared" si="12"/>
        <v>2026</v>
      </c>
      <c r="K68" s="95">
        <f t="shared" si="12"/>
        <v>2027</v>
      </c>
      <c r="L68" s="95">
        <f t="shared" si="12"/>
        <v>2028</v>
      </c>
      <c r="M68" s="95">
        <f t="shared" si="12"/>
        <v>2029</v>
      </c>
      <c r="N68" s="95">
        <f t="shared" si="12"/>
        <v>2030</v>
      </c>
    </row>
    <row r="70" spans="2:22" x14ac:dyDescent="0.3">
      <c r="B70" t="s">
        <v>139</v>
      </c>
      <c r="F70" s="96">
        <v>365</v>
      </c>
      <c r="G70" s="84">
        <f>F70</f>
        <v>365</v>
      </c>
      <c r="H70" s="84">
        <f t="shared" ref="H70:N70" si="13">G70</f>
        <v>365</v>
      </c>
      <c r="I70" s="84">
        <f t="shared" si="13"/>
        <v>365</v>
      </c>
      <c r="J70" s="84">
        <f t="shared" si="13"/>
        <v>365</v>
      </c>
      <c r="K70" s="84">
        <f t="shared" si="13"/>
        <v>365</v>
      </c>
      <c r="L70" s="84">
        <f t="shared" si="13"/>
        <v>365</v>
      </c>
      <c r="M70" s="84">
        <f t="shared" si="13"/>
        <v>365</v>
      </c>
      <c r="N70" s="84">
        <f t="shared" si="13"/>
        <v>365</v>
      </c>
      <c r="O70" s="84"/>
    </row>
    <row r="71" spans="2:22" x14ac:dyDescent="0.3">
      <c r="B71" t="s">
        <v>31</v>
      </c>
      <c r="F71" s="97">
        <f>F48</f>
        <v>1000</v>
      </c>
      <c r="G71" s="97">
        <f t="shared" ref="G71:N71" si="14">G48</f>
        <v>1100</v>
      </c>
      <c r="H71" s="97">
        <f t="shared" si="14"/>
        <v>1195</v>
      </c>
      <c r="I71" s="97">
        <f t="shared" si="14"/>
        <v>1284.625</v>
      </c>
      <c r="J71" s="97">
        <f t="shared" si="14"/>
        <v>1380.971875</v>
      </c>
      <c r="K71" s="97">
        <f t="shared" si="14"/>
        <v>1484.5447656249999</v>
      </c>
      <c r="L71" s="97">
        <f t="shared" si="14"/>
        <v>1595.8856230468748</v>
      </c>
      <c r="M71" s="97">
        <f t="shared" si="14"/>
        <v>1715.5770447753903</v>
      </c>
      <c r="N71" s="97">
        <f t="shared" si="14"/>
        <v>1844.2453231335444</v>
      </c>
      <c r="V71" s="88" t="s">
        <v>129</v>
      </c>
    </row>
    <row r="72" spans="2:22" x14ac:dyDescent="0.3">
      <c r="B72" t="s">
        <v>132</v>
      </c>
      <c r="F72" s="97">
        <f>F49</f>
        <v>600</v>
      </c>
      <c r="G72" s="97">
        <f t="shared" ref="G72:N72" si="15">G49</f>
        <v>704</v>
      </c>
      <c r="H72" s="97">
        <f t="shared" si="15"/>
        <v>795</v>
      </c>
      <c r="I72" s="97">
        <f t="shared" si="15"/>
        <v>815.85333333333324</v>
      </c>
      <c r="J72" s="97">
        <f t="shared" si="15"/>
        <v>877.0423333333332</v>
      </c>
      <c r="K72" s="97">
        <f t="shared" si="15"/>
        <v>942.82050833333324</v>
      </c>
      <c r="L72" s="97">
        <f t="shared" si="15"/>
        <v>1013.5320464583332</v>
      </c>
      <c r="M72" s="97">
        <f t="shared" si="15"/>
        <v>1089.5469499427081</v>
      </c>
      <c r="N72" s="97">
        <f t="shared" si="15"/>
        <v>1171.262971188411</v>
      </c>
    </row>
    <row r="74" spans="2:22" x14ac:dyDescent="0.3">
      <c r="B74" s="1" t="s">
        <v>146</v>
      </c>
    </row>
    <row r="75" spans="2:22" x14ac:dyDescent="0.3">
      <c r="B75" s="9" t="s">
        <v>136</v>
      </c>
      <c r="E75" s="98" t="s">
        <v>142</v>
      </c>
      <c r="F75" s="118">
        <f>F82/F71*F70</f>
        <v>50</v>
      </c>
      <c r="G75" s="119">
        <f t="shared" ref="G75:H75" si="16">G82/G71*G70</f>
        <v>53.000000000000007</v>
      </c>
      <c r="H75" s="120">
        <f t="shared" si="16"/>
        <v>51</v>
      </c>
      <c r="I75" s="119">
        <f>($N75-$H75)/6+H75</f>
        <v>51.055555555555557</v>
      </c>
      <c r="J75" s="119">
        <f t="shared" ref="J75:M75" si="17">($N75-$H75)/6+I75</f>
        <v>51.111111111111114</v>
      </c>
      <c r="K75" s="119">
        <f t="shared" si="17"/>
        <v>51.166666666666671</v>
      </c>
      <c r="L75" s="119">
        <f t="shared" si="17"/>
        <v>51.222222222222229</v>
      </c>
      <c r="M75" s="119">
        <f t="shared" si="17"/>
        <v>51.277777777777786</v>
      </c>
      <c r="N75" s="120">
        <f>AVERAGE(F75:H75)</f>
        <v>51.333333333333336</v>
      </c>
    </row>
    <row r="76" spans="2:22" x14ac:dyDescent="0.3">
      <c r="B76" s="9" t="s">
        <v>137</v>
      </c>
      <c r="E76" s="98" t="s">
        <v>142</v>
      </c>
      <c r="F76" s="121">
        <f>F83/F$72*F70</f>
        <v>45</v>
      </c>
      <c r="G76" s="27">
        <f t="shared" ref="G76:H76" si="18">G83/G$72*G70</f>
        <v>48.000000000000007</v>
      </c>
      <c r="H76" s="122">
        <f t="shared" si="18"/>
        <v>47</v>
      </c>
      <c r="I76" s="27">
        <f t="shared" ref="I76:M76" si="19">($N76-$H76)/6+H76</f>
        <v>46.944444444444443</v>
      </c>
      <c r="J76" s="27">
        <f t="shared" si="19"/>
        <v>46.888888888888886</v>
      </c>
      <c r="K76" s="27">
        <f t="shared" si="19"/>
        <v>46.833333333333329</v>
      </c>
      <c r="L76" s="27">
        <f t="shared" si="19"/>
        <v>46.777777777777771</v>
      </c>
      <c r="M76" s="27">
        <f t="shared" si="19"/>
        <v>46.722222222222214</v>
      </c>
      <c r="N76" s="122">
        <f t="shared" ref="N76:N79" si="20">AVERAGE(F76:H76)</f>
        <v>46.666666666666664</v>
      </c>
    </row>
    <row r="77" spans="2:22" x14ac:dyDescent="0.3">
      <c r="B77" s="9" t="s">
        <v>138</v>
      </c>
      <c r="E77" s="98" t="s">
        <v>142</v>
      </c>
      <c r="F77" s="121">
        <f>F84/F$72*F70</f>
        <v>40</v>
      </c>
      <c r="G77" s="27">
        <f t="shared" ref="G77:H77" si="21">G84/G$72*G70</f>
        <v>42.999999999999993</v>
      </c>
      <c r="H77" s="122">
        <f t="shared" si="21"/>
        <v>44</v>
      </c>
      <c r="I77" s="27">
        <f t="shared" ref="I77:M77" si="22">($N77-$H77)/6+H77</f>
        <v>43.722222222222221</v>
      </c>
      <c r="J77" s="27">
        <f t="shared" si="22"/>
        <v>43.444444444444443</v>
      </c>
      <c r="K77" s="27">
        <f t="shared" si="22"/>
        <v>43.166666666666664</v>
      </c>
      <c r="L77" s="27">
        <f t="shared" si="22"/>
        <v>42.888888888888886</v>
      </c>
      <c r="M77" s="27">
        <f t="shared" si="22"/>
        <v>42.611111111111107</v>
      </c>
      <c r="N77" s="122">
        <f t="shared" si="20"/>
        <v>42.333333333333336</v>
      </c>
    </row>
    <row r="78" spans="2:22" x14ac:dyDescent="0.3">
      <c r="B78" s="9" t="s">
        <v>141</v>
      </c>
      <c r="E78" s="98" t="s">
        <v>143</v>
      </c>
      <c r="F78" s="100">
        <f>F85/F$71</f>
        <v>0.19600000000000001</v>
      </c>
      <c r="G78" s="25">
        <f t="shared" ref="G78:H78" si="23">G85/G$71</f>
        <v>0.189</v>
      </c>
      <c r="H78" s="103">
        <f t="shared" si="23"/>
        <v>0.20100000000000001</v>
      </c>
      <c r="I78" s="25">
        <f t="shared" ref="I78:M78" si="24">($N78-$H78)/6+H78</f>
        <v>0.20005555555555557</v>
      </c>
      <c r="J78" s="25">
        <f t="shared" si="24"/>
        <v>0.19911111111111113</v>
      </c>
      <c r="K78" s="25">
        <f t="shared" si="24"/>
        <v>0.19816666666666669</v>
      </c>
      <c r="L78" s="25">
        <f t="shared" si="24"/>
        <v>0.19722222222222224</v>
      </c>
      <c r="M78" s="25">
        <f t="shared" si="24"/>
        <v>0.1962777777777778</v>
      </c>
      <c r="N78" s="103">
        <f t="shared" si="20"/>
        <v>0.19533333333333336</v>
      </c>
    </row>
    <row r="79" spans="2:22" x14ac:dyDescent="0.3">
      <c r="B79" s="9" t="s">
        <v>140</v>
      </c>
      <c r="E79" s="98" t="s">
        <v>143</v>
      </c>
      <c r="F79" s="101">
        <f>F86/F$71</f>
        <v>0.152</v>
      </c>
      <c r="G79" s="102">
        <f t="shared" ref="G79:H79" si="25">G86/G$71</f>
        <v>0.13300000000000001</v>
      </c>
      <c r="H79" s="104">
        <f t="shared" si="25"/>
        <v>0.159</v>
      </c>
      <c r="I79" s="102">
        <f t="shared" ref="I79:M79" si="26">($N79-$H79)/6+H79</f>
        <v>0.15716666666666668</v>
      </c>
      <c r="J79" s="102">
        <f t="shared" si="26"/>
        <v>0.15533333333333335</v>
      </c>
      <c r="K79" s="102">
        <f t="shared" si="26"/>
        <v>0.15350000000000003</v>
      </c>
      <c r="L79" s="102">
        <f t="shared" si="26"/>
        <v>0.1516666666666667</v>
      </c>
      <c r="M79" s="102">
        <f t="shared" si="26"/>
        <v>0.14983333333333337</v>
      </c>
      <c r="N79" s="104">
        <f t="shared" si="20"/>
        <v>0.14800000000000002</v>
      </c>
    </row>
    <row r="81" spans="2:32" x14ac:dyDescent="0.3">
      <c r="B81" s="1" t="s">
        <v>145</v>
      </c>
    </row>
    <row r="82" spans="2:32" x14ac:dyDescent="0.3">
      <c r="B82" s="9" t="s">
        <v>136</v>
      </c>
      <c r="F82" s="99">
        <v>136.98630136986301</v>
      </c>
      <c r="G82" s="99">
        <v>159.72602739726028</v>
      </c>
      <c r="H82" s="99">
        <v>166.97260273972603</v>
      </c>
      <c r="I82" s="97">
        <f>I75*I71/I70</f>
        <v>179.69107686453577</v>
      </c>
      <c r="J82" s="97">
        <f t="shared" ref="J82:N82" si="27">J75*J71/J70</f>
        <v>193.37810121765602</v>
      </c>
      <c r="K82" s="97">
        <f t="shared" si="27"/>
        <v>208.10741691638125</v>
      </c>
      <c r="L82" s="97">
        <f t="shared" si="27"/>
        <v>223.95837815056603</v>
      </c>
      <c r="M82" s="97">
        <f t="shared" si="27"/>
        <v>241.01637934972379</v>
      </c>
      <c r="N82" s="97">
        <f t="shared" si="27"/>
        <v>259.37331485165834</v>
      </c>
    </row>
    <row r="83" spans="2:32" x14ac:dyDescent="0.3">
      <c r="B83" s="9" t="s">
        <v>137</v>
      </c>
      <c r="F83" s="99">
        <v>73.972602739726028</v>
      </c>
      <c r="G83" s="99">
        <v>92.580821917808223</v>
      </c>
      <c r="H83" s="99">
        <v>102.36986301369863</v>
      </c>
      <c r="I83" s="97">
        <f>I76*I$72/I$70</f>
        <v>104.9309081684424</v>
      </c>
      <c r="J83" s="97">
        <f t="shared" ref="J83:N83" si="28">J76*J$72/J$70</f>
        <v>112.66723429731098</v>
      </c>
      <c r="K83" s="97">
        <f t="shared" si="28"/>
        <v>120.97377298706238</v>
      </c>
      <c r="L83" s="97">
        <f t="shared" si="28"/>
        <v>129.89253928735408</v>
      </c>
      <c r="M83" s="97">
        <f t="shared" si="28"/>
        <v>139.46864305963734</v>
      </c>
      <c r="N83" s="97">
        <f t="shared" si="28"/>
        <v>149.7505168642717</v>
      </c>
    </row>
    <row r="84" spans="2:32" x14ac:dyDescent="0.3">
      <c r="B84" s="9" t="s">
        <v>138</v>
      </c>
      <c r="F84" s="99">
        <v>65.753424657534254</v>
      </c>
      <c r="G84" s="99">
        <v>82.936986301369856</v>
      </c>
      <c r="H84" s="99">
        <v>95.835616438356169</v>
      </c>
      <c r="I84" s="97">
        <f>I77*I$72/I$70</f>
        <v>97.728549974632159</v>
      </c>
      <c r="J84" s="97">
        <f t="shared" ref="J84:N84" si="29">J77*J$72/J$70</f>
        <v>104.39073130390662</v>
      </c>
      <c r="K84" s="97">
        <f t="shared" si="29"/>
        <v>111.50251673896499</v>
      </c>
      <c r="L84" s="97">
        <f t="shared" si="29"/>
        <v>119.09387212569759</v>
      </c>
      <c r="M84" s="97">
        <f t="shared" si="29"/>
        <v>127.19672916378342</v>
      </c>
      <c r="N84" s="97">
        <f t="shared" si="29"/>
        <v>135.84511172687507</v>
      </c>
      <c r="P84" s="139" t="s">
        <v>144</v>
      </c>
      <c r="Q84" s="139"/>
      <c r="R84" s="139"/>
      <c r="S84" s="139"/>
      <c r="T84" s="139"/>
      <c r="U84" s="139"/>
      <c r="V84" s="139"/>
    </row>
    <row r="85" spans="2:32" x14ac:dyDescent="0.3">
      <c r="B85" s="9" t="s">
        <v>141</v>
      </c>
      <c r="F85" s="99">
        <v>196</v>
      </c>
      <c r="G85" s="99">
        <v>207.9</v>
      </c>
      <c r="H85" s="99">
        <v>240.19500000000002</v>
      </c>
      <c r="I85" s="97">
        <f>I78*I$71</f>
        <v>256.99636805555559</v>
      </c>
      <c r="J85" s="97">
        <f t="shared" ref="J85:N85" si="30">J78*J$71</f>
        <v>274.96684444444446</v>
      </c>
      <c r="K85" s="97">
        <f t="shared" si="30"/>
        <v>294.18728772135415</v>
      </c>
      <c r="L85" s="97">
        <f t="shared" si="30"/>
        <v>314.74410898980034</v>
      </c>
      <c r="M85" s="97">
        <f t="shared" si="30"/>
        <v>336.72964995508079</v>
      </c>
      <c r="N85" s="97">
        <f t="shared" si="30"/>
        <v>360.24258645208573</v>
      </c>
      <c r="P85" s="139"/>
      <c r="Q85" s="139"/>
      <c r="R85" s="139"/>
      <c r="S85" s="139"/>
      <c r="T85" s="139"/>
      <c r="U85" s="139"/>
      <c r="V85" s="139"/>
    </row>
    <row r="86" spans="2:32" x14ac:dyDescent="0.3">
      <c r="B86" s="9" t="s">
        <v>140</v>
      </c>
      <c r="F86" s="99">
        <v>152</v>
      </c>
      <c r="G86" s="99">
        <v>146.30000000000001</v>
      </c>
      <c r="H86" s="99">
        <v>190.005</v>
      </c>
      <c r="I86" s="97">
        <f>I79*I$71</f>
        <v>201.90022916666669</v>
      </c>
      <c r="J86" s="97">
        <f t="shared" ref="J86:N86" si="31">J79*J$71</f>
        <v>214.51096458333336</v>
      </c>
      <c r="K86" s="97">
        <f t="shared" si="31"/>
        <v>227.87762152343751</v>
      </c>
      <c r="L86" s="97">
        <f t="shared" si="31"/>
        <v>242.04265282877606</v>
      </c>
      <c r="M86" s="97">
        <f t="shared" si="31"/>
        <v>257.05062720884604</v>
      </c>
      <c r="N86" s="97">
        <f t="shared" si="31"/>
        <v>272.94830782376459</v>
      </c>
      <c r="P86" s="139"/>
      <c r="Q86" s="139"/>
      <c r="R86" s="139"/>
      <c r="S86" s="139"/>
      <c r="T86" s="139"/>
      <c r="U86" s="139"/>
      <c r="V86" s="139"/>
    </row>
    <row r="87" spans="2:32" x14ac:dyDescent="0.3">
      <c r="P87" s="139"/>
      <c r="Q87" s="139"/>
      <c r="R87" s="139"/>
      <c r="S87" s="139"/>
      <c r="T87" s="139"/>
      <c r="U87" s="139"/>
      <c r="V87" s="139"/>
    </row>
    <row r="88" spans="2:32" x14ac:dyDescent="0.3">
      <c r="B88" s="9" t="s">
        <v>148</v>
      </c>
      <c r="F88" s="97">
        <f>SUM(F82:F83,F85)</f>
        <v>406.95890410958907</v>
      </c>
      <c r="G88" s="97">
        <f t="shared" ref="G88:H88" si="32">SUM(G82:G83,G85)</f>
        <v>460.20684931506855</v>
      </c>
      <c r="H88" s="97">
        <f t="shared" si="32"/>
        <v>509.53746575342473</v>
      </c>
      <c r="I88" s="97">
        <f t="shared" ref="I88:N88" si="33">SUM(I82:I83,I85)</f>
        <v>541.61835308853369</v>
      </c>
      <c r="J88" s="97">
        <f t="shared" si="33"/>
        <v>581.01217995941147</v>
      </c>
      <c r="K88" s="97">
        <f t="shared" si="33"/>
        <v>623.2684776247977</v>
      </c>
      <c r="L88" s="97">
        <f t="shared" si="33"/>
        <v>668.59502642772043</v>
      </c>
      <c r="M88" s="97">
        <f t="shared" si="33"/>
        <v>717.21467236444187</v>
      </c>
      <c r="N88" s="97">
        <f t="shared" si="33"/>
        <v>769.3664181680158</v>
      </c>
      <c r="P88" s="139"/>
      <c r="Q88" s="139"/>
      <c r="R88" s="139"/>
      <c r="S88" s="139"/>
      <c r="T88" s="139"/>
      <c r="U88" s="139"/>
      <c r="V88" s="139"/>
    </row>
    <row r="89" spans="2:32" x14ac:dyDescent="0.3">
      <c r="B89" s="9" t="s">
        <v>149</v>
      </c>
      <c r="F89" s="97">
        <f>SUM(F84,F86)</f>
        <v>217.75342465753425</v>
      </c>
      <c r="G89" s="97">
        <f t="shared" ref="G89:H89" si="34">SUM(G84,G86)</f>
        <v>229.23698630136988</v>
      </c>
      <c r="H89" s="97">
        <f t="shared" si="34"/>
        <v>285.84061643835616</v>
      </c>
      <c r="I89" s="97">
        <f t="shared" ref="I89:N89" si="35">SUM(I84,I86)</f>
        <v>299.62877914129888</v>
      </c>
      <c r="J89" s="97">
        <f t="shared" si="35"/>
        <v>318.90169588723995</v>
      </c>
      <c r="K89" s="97">
        <f t="shared" si="35"/>
        <v>339.38013826240251</v>
      </c>
      <c r="L89" s="97">
        <f t="shared" si="35"/>
        <v>361.13652495447366</v>
      </c>
      <c r="M89" s="97">
        <f t="shared" si="35"/>
        <v>384.24735637262944</v>
      </c>
      <c r="N89" s="97">
        <f t="shared" si="35"/>
        <v>408.79341955063967</v>
      </c>
      <c r="P89" s="139"/>
      <c r="Q89" s="139"/>
      <c r="R89" s="139"/>
      <c r="S89" s="139"/>
      <c r="T89" s="139"/>
      <c r="U89" s="139"/>
      <c r="V89" s="139"/>
    </row>
    <row r="90" spans="2:32" x14ac:dyDescent="0.3">
      <c r="B90" s="9" t="s">
        <v>150</v>
      </c>
      <c r="F90" s="117">
        <f>F88-F89</f>
        <v>189.20547945205482</v>
      </c>
      <c r="G90" s="117">
        <f t="shared" ref="G90:N90" si="36">G88-G89</f>
        <v>230.96986301369867</v>
      </c>
      <c r="H90" s="117">
        <f t="shared" si="36"/>
        <v>223.69684931506856</v>
      </c>
      <c r="I90" s="117">
        <f t="shared" si="36"/>
        <v>241.98957394723482</v>
      </c>
      <c r="J90" s="117">
        <f t="shared" si="36"/>
        <v>262.11048407217152</v>
      </c>
      <c r="K90" s="117">
        <f t="shared" si="36"/>
        <v>283.88833936239519</v>
      </c>
      <c r="L90" s="117">
        <f t="shared" si="36"/>
        <v>307.45850147324677</v>
      </c>
      <c r="M90" s="117">
        <f t="shared" si="36"/>
        <v>332.96731599181243</v>
      </c>
      <c r="N90" s="117">
        <f t="shared" si="36"/>
        <v>360.57299861737613</v>
      </c>
      <c r="P90" s="139"/>
      <c r="Q90" s="139"/>
      <c r="R90" s="139"/>
      <c r="S90" s="139"/>
      <c r="T90" s="139"/>
      <c r="U90" s="139"/>
      <c r="V90" s="139"/>
    </row>
    <row r="91" spans="2:32" x14ac:dyDescent="0.3">
      <c r="P91" s="139"/>
      <c r="Q91" s="139"/>
      <c r="R91" s="139"/>
      <c r="S91" s="139"/>
      <c r="T91" s="139"/>
      <c r="U91" s="139"/>
      <c r="V91" s="139"/>
    </row>
    <row r="92" spans="2:32" ht="15" thickBot="1" x14ac:dyDescent="0.35">
      <c r="B92" s="116" t="s">
        <v>111</v>
      </c>
      <c r="I92" s="131">
        <f>H90-I90</f>
        <v>-18.292724632166255</v>
      </c>
      <c r="J92" s="131">
        <f t="shared" ref="J92:N92" si="37">I90-J90</f>
        <v>-20.1209101249367</v>
      </c>
      <c r="K92" s="131">
        <f t="shared" si="37"/>
        <v>-21.77785529022367</v>
      </c>
      <c r="L92" s="131">
        <f t="shared" si="37"/>
        <v>-23.570162110851584</v>
      </c>
      <c r="M92" s="131">
        <f t="shared" si="37"/>
        <v>-25.508814518565657</v>
      </c>
      <c r="N92" s="131">
        <f t="shared" si="37"/>
        <v>-27.605682625563702</v>
      </c>
      <c r="P92" s="139"/>
      <c r="Q92" s="139"/>
      <c r="R92" s="139"/>
      <c r="S92" s="139"/>
      <c r="T92" s="139"/>
      <c r="U92" s="139"/>
      <c r="V92" s="139"/>
    </row>
    <row r="93" spans="2:32" x14ac:dyDescent="0.3">
      <c r="B93" s="9"/>
      <c r="P93" s="139"/>
      <c r="Q93" s="139"/>
      <c r="R93" s="139"/>
      <c r="S93" s="139"/>
      <c r="T93" s="139"/>
      <c r="U93" s="139"/>
      <c r="V93" s="139"/>
    </row>
    <row r="94" spans="2:32" ht="18" x14ac:dyDescent="0.35">
      <c r="B94" s="72" t="s">
        <v>147</v>
      </c>
      <c r="C94" s="72"/>
      <c r="D94" s="72"/>
      <c r="E94" s="72"/>
      <c r="F94" s="72"/>
      <c r="G94" s="75"/>
      <c r="H94" s="75"/>
      <c r="I94" s="75"/>
      <c r="J94" s="75"/>
      <c r="K94" s="75"/>
      <c r="L94" s="75"/>
      <c r="M94" s="75"/>
      <c r="N94" s="75"/>
      <c r="P94" s="139"/>
      <c r="Q94" s="139"/>
      <c r="R94" s="139"/>
      <c r="S94" s="139"/>
      <c r="T94" s="139"/>
      <c r="U94" s="139"/>
      <c r="V94" s="139"/>
    </row>
    <row r="96" spans="2:32" x14ac:dyDescent="0.3">
      <c r="F96" s="94">
        <v>2022</v>
      </c>
      <c r="G96" s="94">
        <f>F96+1</f>
        <v>2023</v>
      </c>
      <c r="H96" s="94">
        <f t="shared" ref="H96:N96" si="38">G96+1</f>
        <v>2024</v>
      </c>
      <c r="I96" s="95">
        <f t="shared" si="38"/>
        <v>2025</v>
      </c>
      <c r="J96" s="95">
        <f t="shared" si="38"/>
        <v>2026</v>
      </c>
      <c r="K96" s="95">
        <f t="shared" si="38"/>
        <v>2027</v>
      </c>
      <c r="L96" s="95">
        <f t="shared" si="38"/>
        <v>2028</v>
      </c>
      <c r="M96" s="95">
        <f t="shared" si="38"/>
        <v>2029</v>
      </c>
      <c r="N96" s="95">
        <f t="shared" si="38"/>
        <v>2030</v>
      </c>
    </row>
    <row r="97" spans="2:14" x14ac:dyDescent="0.3">
      <c r="F97" s="105"/>
      <c r="G97" s="105"/>
      <c r="H97" s="105"/>
      <c r="I97" s="106"/>
      <c r="J97" s="106"/>
      <c r="K97" s="106"/>
      <c r="L97" s="106"/>
      <c r="M97" s="106"/>
      <c r="N97" s="106"/>
    </row>
    <row r="98" spans="2:14" x14ac:dyDescent="0.3">
      <c r="B98" s="1" t="s">
        <v>45</v>
      </c>
      <c r="F98" s="105"/>
      <c r="G98" s="105"/>
      <c r="H98" s="105"/>
      <c r="I98" s="108">
        <v>120</v>
      </c>
      <c r="J98" s="108">
        <f>(1+7%)*I98</f>
        <v>128.4</v>
      </c>
      <c r="K98" s="108">
        <f t="shared" ref="K98:N98" si="39">(1+7%)*J98</f>
        <v>137.38800000000001</v>
      </c>
      <c r="L98" s="108">
        <f t="shared" si="39"/>
        <v>147.00516000000002</v>
      </c>
      <c r="M98" s="108">
        <f t="shared" si="39"/>
        <v>157.29552120000002</v>
      </c>
      <c r="N98" s="108">
        <f t="shared" si="39"/>
        <v>168.30620768400004</v>
      </c>
    </row>
    <row r="99" spans="2:14" x14ac:dyDescent="0.3">
      <c r="B99" t="s">
        <v>35</v>
      </c>
      <c r="I99" s="107">
        <f>I62</f>
        <v>66.183352272727276</v>
      </c>
      <c r="J99" s="107">
        <f t="shared" ref="J99:N99" si="40">J62</f>
        <v>71.147103693181819</v>
      </c>
      <c r="K99" s="107">
        <f t="shared" si="40"/>
        <v>76.48313647017045</v>
      </c>
      <c r="L99" s="107">
        <f t="shared" si="40"/>
        <v>82.219371705433232</v>
      </c>
      <c r="M99" s="107">
        <f t="shared" si="40"/>
        <v>88.385824583340721</v>
      </c>
      <c r="N99" s="107">
        <f t="shared" si="40"/>
        <v>95.014761427091273</v>
      </c>
    </row>
    <row r="100" spans="2:14" x14ac:dyDescent="0.3">
      <c r="B100" t="s">
        <v>48</v>
      </c>
      <c r="I100" s="107">
        <f>-I52</f>
        <v>-74.951117424242426</v>
      </c>
      <c r="J100" s="107">
        <f t="shared" ref="J100:N100" si="41">-J52</f>
        <v>-80.572451231060597</v>
      </c>
      <c r="K100" s="107">
        <f t="shared" si="41"/>
        <v>-86.615385073390144</v>
      </c>
      <c r="L100" s="107">
        <f t="shared" si="41"/>
        <v>-93.111538953894396</v>
      </c>
      <c r="M100" s="107">
        <f t="shared" si="41"/>
        <v>-100.09490437543647</v>
      </c>
      <c r="N100" s="107">
        <f t="shared" si="41"/>
        <v>-107.60202220359419</v>
      </c>
    </row>
    <row r="101" spans="2:14" x14ac:dyDescent="0.3">
      <c r="B101" t="s">
        <v>101</v>
      </c>
      <c r="I101" s="107">
        <f>I92</f>
        <v>-18.292724632166255</v>
      </c>
      <c r="J101" s="107">
        <f t="shared" ref="J101:N101" si="42">J92</f>
        <v>-20.1209101249367</v>
      </c>
      <c r="K101" s="107">
        <f t="shared" si="42"/>
        <v>-21.77785529022367</v>
      </c>
      <c r="L101" s="107">
        <f t="shared" si="42"/>
        <v>-23.570162110851584</v>
      </c>
      <c r="M101" s="107">
        <f t="shared" si="42"/>
        <v>-25.508814518565657</v>
      </c>
      <c r="N101" s="107">
        <f t="shared" si="42"/>
        <v>-27.605682625563702</v>
      </c>
    </row>
    <row r="102" spans="2:14" x14ac:dyDescent="0.3">
      <c r="B102" s="1" t="s">
        <v>56</v>
      </c>
      <c r="I102" s="132">
        <f>SUM(I98:I101)</f>
        <v>92.93951021631861</v>
      </c>
      <c r="J102" s="132">
        <f t="shared" ref="J102:N102" si="43">SUM(J98:J101)</f>
        <v>98.853742337184542</v>
      </c>
      <c r="K102" s="132">
        <f t="shared" si="43"/>
        <v>105.47789610655664</v>
      </c>
      <c r="L102" s="132">
        <f t="shared" si="43"/>
        <v>112.54283064068727</v>
      </c>
      <c r="M102" s="132">
        <f t="shared" si="43"/>
        <v>120.07762688933863</v>
      </c>
      <c r="N102" s="132">
        <f t="shared" si="43"/>
        <v>128.11326428193343</v>
      </c>
    </row>
    <row r="104" spans="2:14" x14ac:dyDescent="0.3">
      <c r="B104" t="s">
        <v>52</v>
      </c>
    </row>
    <row r="105" spans="2:14" x14ac:dyDescent="0.3">
      <c r="B105" s="1"/>
    </row>
    <row r="107" spans="2:14" x14ac:dyDescent="0.3">
      <c r="B107" s="4" t="s">
        <v>74</v>
      </c>
      <c r="C107" s="4"/>
      <c r="D107" s="4"/>
      <c r="E107" s="4"/>
      <c r="F107" s="4"/>
      <c r="G107" s="4"/>
      <c r="H107" s="4"/>
      <c r="I107" s="4"/>
      <c r="J107" s="4"/>
      <c r="K107" s="4"/>
      <c r="L107" s="4"/>
      <c r="M107" s="4"/>
      <c r="N107" s="4"/>
    </row>
  </sheetData>
  <mergeCells count="2">
    <mergeCell ref="P84:V94"/>
    <mergeCell ref="F42:N43"/>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3E74F-12A0-472B-A155-6586F7047E2F}">
  <dimension ref="B2:O141"/>
  <sheetViews>
    <sheetView showGridLines="0" zoomScale="125" workbookViewId="0">
      <selection activeCell="K19" sqref="K19"/>
    </sheetView>
  </sheetViews>
  <sheetFormatPr defaultRowHeight="14.4" x14ac:dyDescent="0.3"/>
  <cols>
    <col min="1" max="1" width="4.77734375" customWidth="1"/>
    <col min="2" max="2" width="16.77734375" customWidth="1"/>
    <col min="3" max="14" width="11.77734375" customWidth="1"/>
  </cols>
  <sheetData>
    <row r="2" spans="2:15" ht="21" x14ac:dyDescent="0.4">
      <c r="B2" s="59" t="s">
        <v>88</v>
      </c>
      <c r="C2" s="2"/>
      <c r="D2" s="2"/>
      <c r="E2" s="2"/>
      <c r="F2" s="2"/>
      <c r="G2" s="2"/>
      <c r="H2" s="2"/>
      <c r="I2" s="2"/>
      <c r="J2" s="2"/>
      <c r="K2" s="2"/>
      <c r="L2" s="2"/>
      <c r="M2" s="2"/>
      <c r="N2" s="2"/>
      <c r="O2" t="s">
        <v>74</v>
      </c>
    </row>
    <row r="3" spans="2:15" x14ac:dyDescent="0.3">
      <c r="O3" t="s">
        <v>74</v>
      </c>
    </row>
    <row r="4" spans="2:15" x14ac:dyDescent="0.3">
      <c r="B4" s="16" t="s">
        <v>30</v>
      </c>
    </row>
    <row r="6" spans="2:15" x14ac:dyDescent="0.3">
      <c r="B6" s="3" t="s">
        <v>0</v>
      </c>
      <c r="C6" s="4"/>
      <c r="D6" s="4"/>
      <c r="F6" s="3" t="s">
        <v>89</v>
      </c>
      <c r="G6" s="4"/>
      <c r="H6" s="58" t="s">
        <v>16</v>
      </c>
      <c r="I6" s="58" t="s">
        <v>17</v>
      </c>
      <c r="K6" s="3" t="s">
        <v>90</v>
      </c>
      <c r="L6" s="4"/>
      <c r="M6" s="58" t="s">
        <v>16</v>
      </c>
      <c r="O6" t="s">
        <v>74</v>
      </c>
    </row>
    <row r="7" spans="2:15" x14ac:dyDescent="0.3">
      <c r="B7" t="s">
        <v>2</v>
      </c>
      <c r="D7" s="5">
        <v>9.5</v>
      </c>
      <c r="F7" t="s">
        <v>104</v>
      </c>
      <c r="H7">
        <f>D13</f>
        <v>40</v>
      </c>
      <c r="I7" s="5">
        <f>H7/$D$9</f>
        <v>0.41666666666666669</v>
      </c>
      <c r="K7" t="s">
        <v>19</v>
      </c>
      <c r="M7">
        <f>D16</f>
        <v>732</v>
      </c>
      <c r="O7" t="s">
        <v>74</v>
      </c>
    </row>
    <row r="8" spans="2:15" x14ac:dyDescent="0.3">
      <c r="B8" t="s">
        <v>3</v>
      </c>
      <c r="D8" s="5">
        <v>9.5</v>
      </c>
      <c r="F8" t="s">
        <v>13</v>
      </c>
      <c r="H8" s="134">
        <v>500</v>
      </c>
      <c r="I8" s="5">
        <f t="shared" ref="I8:I10" si="0">H8/$D$9</f>
        <v>5.208333333333333</v>
      </c>
      <c r="K8" s="4" t="s">
        <v>156</v>
      </c>
      <c r="L8" s="4"/>
      <c r="M8" s="4">
        <f>D14</f>
        <v>220</v>
      </c>
      <c r="O8" t="s">
        <v>74</v>
      </c>
    </row>
    <row r="9" spans="2:15" x14ac:dyDescent="0.3">
      <c r="B9" t="s">
        <v>4</v>
      </c>
      <c r="D9">
        <v>96</v>
      </c>
      <c r="F9" s="4" t="s">
        <v>95</v>
      </c>
      <c r="G9" s="4"/>
      <c r="H9" s="4">
        <f>H10-SUM(H7:H8)</f>
        <v>412</v>
      </c>
      <c r="I9" s="133">
        <f t="shared" si="0"/>
        <v>4.291666666666667</v>
      </c>
      <c r="K9" s="1" t="s">
        <v>97</v>
      </c>
      <c r="M9" s="1">
        <f>SUM(M7:M8)</f>
        <v>952</v>
      </c>
      <c r="O9" t="s">
        <v>74</v>
      </c>
    </row>
    <row r="10" spans="2:15" x14ac:dyDescent="0.3">
      <c r="F10" t="s">
        <v>97</v>
      </c>
      <c r="H10">
        <f>M9</f>
        <v>952</v>
      </c>
      <c r="I10" s="5">
        <f t="shared" si="0"/>
        <v>9.9166666666666661</v>
      </c>
      <c r="O10" t="s">
        <v>74</v>
      </c>
    </row>
    <row r="11" spans="2:15" x14ac:dyDescent="0.3">
      <c r="B11" s="3" t="s">
        <v>5</v>
      </c>
      <c r="C11" s="4"/>
      <c r="D11" s="4"/>
      <c r="O11" t="s">
        <v>74</v>
      </c>
    </row>
    <row r="12" spans="2:15" x14ac:dyDescent="0.3">
      <c r="B12" t="s">
        <v>98</v>
      </c>
      <c r="D12">
        <f>D9*D7</f>
        <v>912</v>
      </c>
      <c r="O12" t="s">
        <v>74</v>
      </c>
    </row>
    <row r="13" spans="2:15" x14ac:dyDescent="0.3">
      <c r="B13" t="s">
        <v>99</v>
      </c>
      <c r="D13">
        <v>40</v>
      </c>
      <c r="F13" s="3" t="s">
        <v>23</v>
      </c>
      <c r="G13" s="3"/>
      <c r="H13" s="3"/>
      <c r="I13" s="3"/>
      <c r="K13" s="3" t="s">
        <v>38</v>
      </c>
      <c r="L13" s="4"/>
      <c r="M13" s="4"/>
      <c r="O13" t="s">
        <v>74</v>
      </c>
    </row>
    <row r="14" spans="2:15" ht="15" thickBot="1" x14ac:dyDescent="0.35">
      <c r="B14" t="s">
        <v>13</v>
      </c>
      <c r="D14">
        <v>220</v>
      </c>
      <c r="F14" t="s">
        <v>25</v>
      </c>
      <c r="I14" s="66">
        <v>7.0000000000000007E-2</v>
      </c>
      <c r="O14" t="s">
        <v>74</v>
      </c>
    </row>
    <row r="15" spans="2:15" x14ac:dyDescent="0.3">
      <c r="B15" t="s">
        <v>9</v>
      </c>
      <c r="D15">
        <f>D14-D13</f>
        <v>180</v>
      </c>
      <c r="F15" t="s">
        <v>26</v>
      </c>
      <c r="I15" s="66">
        <v>0.2</v>
      </c>
      <c r="K15" s="40" t="s">
        <v>39</v>
      </c>
      <c r="L15" s="41"/>
      <c r="M15" s="64"/>
      <c r="O15" t="s">
        <v>74</v>
      </c>
    </row>
    <row r="16" spans="2:15" ht="15" thickBot="1" x14ac:dyDescent="0.35">
      <c r="B16" t="s">
        <v>10</v>
      </c>
      <c r="D16" s="3">
        <f>D12-D15</f>
        <v>732</v>
      </c>
      <c r="F16" t="s">
        <v>29</v>
      </c>
      <c r="I16" s="66">
        <v>0.04</v>
      </c>
      <c r="K16" s="43" t="s">
        <v>40</v>
      </c>
      <c r="L16" s="44"/>
      <c r="M16" s="65"/>
      <c r="O16" t="s">
        <v>74</v>
      </c>
    </row>
    <row r="17" spans="2:15" x14ac:dyDescent="0.3">
      <c r="F17" t="s">
        <v>27</v>
      </c>
      <c r="I17" s="66">
        <v>2.5000000000000001E-2</v>
      </c>
      <c r="O17" t="s">
        <v>74</v>
      </c>
    </row>
    <row r="18" spans="2:15" x14ac:dyDescent="0.3">
      <c r="F18" t="s">
        <v>100</v>
      </c>
      <c r="I18" s="66">
        <v>0.09</v>
      </c>
      <c r="O18" t="s">
        <v>74</v>
      </c>
    </row>
    <row r="19" spans="2:15" x14ac:dyDescent="0.3">
      <c r="F19" t="s">
        <v>46</v>
      </c>
      <c r="I19" s="66">
        <v>0.1</v>
      </c>
      <c r="O19" t="s">
        <v>74</v>
      </c>
    </row>
    <row r="20" spans="2:15" x14ac:dyDescent="0.3">
      <c r="F20" t="s">
        <v>36</v>
      </c>
      <c r="I20" s="66">
        <v>0.2</v>
      </c>
      <c r="O20" t="s">
        <v>74</v>
      </c>
    </row>
    <row r="21" spans="2:15" x14ac:dyDescent="0.3">
      <c r="O21" t="s">
        <v>74</v>
      </c>
    </row>
    <row r="22" spans="2:15" x14ac:dyDescent="0.3">
      <c r="O22" t="s">
        <v>74</v>
      </c>
    </row>
    <row r="23" spans="2:15" x14ac:dyDescent="0.3">
      <c r="O23" t="s">
        <v>74</v>
      </c>
    </row>
    <row r="24" spans="2:15" ht="21" x14ac:dyDescent="0.4">
      <c r="B24" s="59" t="s">
        <v>24</v>
      </c>
      <c r="C24" s="2"/>
      <c r="D24" s="2"/>
      <c r="E24" s="2"/>
      <c r="F24" s="2"/>
      <c r="G24" s="2"/>
      <c r="H24" s="2"/>
      <c r="I24" s="2"/>
      <c r="J24" s="2"/>
      <c r="K24" s="2"/>
      <c r="L24" s="2"/>
      <c r="M24" s="2"/>
      <c r="N24" s="2"/>
      <c r="O24" t="s">
        <v>74</v>
      </c>
    </row>
    <row r="25" spans="2:15" x14ac:dyDescent="0.3">
      <c r="O25" t="s">
        <v>74</v>
      </c>
    </row>
    <row r="26" spans="2:15" x14ac:dyDescent="0.3">
      <c r="B26" s="16" t="s">
        <v>30</v>
      </c>
      <c r="I26" s="60">
        <v>0</v>
      </c>
      <c r="J26" s="61">
        <f>I26+1</f>
        <v>1</v>
      </c>
      <c r="K26" s="61">
        <f t="shared" ref="K26:N26" si="1">J26+1</f>
        <v>2</v>
      </c>
      <c r="L26" s="61">
        <f t="shared" si="1"/>
        <v>3</v>
      </c>
      <c r="M26" s="61">
        <f t="shared" si="1"/>
        <v>4</v>
      </c>
      <c r="N26" s="61">
        <f t="shared" si="1"/>
        <v>5</v>
      </c>
      <c r="O26" s="61" t="s">
        <v>74</v>
      </c>
    </row>
    <row r="27" spans="2:15" x14ac:dyDescent="0.3">
      <c r="O27" t="s">
        <v>74</v>
      </c>
    </row>
    <row r="28" spans="2:15" x14ac:dyDescent="0.3">
      <c r="B28" s="1" t="s">
        <v>31</v>
      </c>
      <c r="I28" s="23">
        <v>480</v>
      </c>
      <c r="J28" s="27">
        <f>(1+$I$14)*I28</f>
        <v>513.6</v>
      </c>
      <c r="K28" s="27">
        <f t="shared" ref="K28:N28" si="2">(1+$I$14)*J28</f>
        <v>549.55200000000002</v>
      </c>
      <c r="L28" s="27">
        <f t="shared" si="2"/>
        <v>588.02064000000007</v>
      </c>
      <c r="M28" s="27">
        <f t="shared" si="2"/>
        <v>629.1820848000001</v>
      </c>
      <c r="N28" s="27">
        <f t="shared" si="2"/>
        <v>673.22483073600017</v>
      </c>
      <c r="O28" t="s">
        <v>74</v>
      </c>
    </row>
    <row r="29" spans="2:15" x14ac:dyDescent="0.3">
      <c r="B29" s="15" t="s">
        <v>91</v>
      </c>
      <c r="J29" s="26"/>
      <c r="K29" s="26"/>
      <c r="L29" s="26"/>
      <c r="M29" s="26"/>
      <c r="N29" s="26"/>
      <c r="O29" t="s">
        <v>74</v>
      </c>
    </row>
    <row r="30" spans="2:15" x14ac:dyDescent="0.3">
      <c r="O30" t="s">
        <v>74</v>
      </c>
    </row>
    <row r="31" spans="2:15" x14ac:dyDescent="0.3">
      <c r="B31" s="1" t="s">
        <v>33</v>
      </c>
      <c r="I31" s="27">
        <f>D9</f>
        <v>96</v>
      </c>
      <c r="J31" s="27">
        <f>$I$15*J28</f>
        <v>102.72000000000001</v>
      </c>
      <c r="K31" s="27">
        <f t="shared" ref="K31:N31" si="3">$I$15*K28</f>
        <v>109.91040000000001</v>
      </c>
      <c r="L31" s="27">
        <f t="shared" si="3"/>
        <v>117.60412800000002</v>
      </c>
      <c r="M31" s="27">
        <f t="shared" si="3"/>
        <v>125.83641696000002</v>
      </c>
      <c r="N31" s="27">
        <f t="shared" si="3"/>
        <v>134.64496614720005</v>
      </c>
      <c r="O31" t="s">
        <v>74</v>
      </c>
    </row>
    <row r="32" spans="2:15" x14ac:dyDescent="0.3">
      <c r="B32" s="15" t="s">
        <v>34</v>
      </c>
      <c r="J32" s="26"/>
      <c r="K32" s="26"/>
      <c r="L32" s="26"/>
      <c r="M32" s="26"/>
      <c r="N32" s="26"/>
      <c r="O32" t="s">
        <v>74</v>
      </c>
    </row>
    <row r="33" spans="2:15" x14ac:dyDescent="0.3">
      <c r="O33" t="s">
        <v>74</v>
      </c>
    </row>
    <row r="34" spans="2:15" x14ac:dyDescent="0.3">
      <c r="B34" s="1" t="s">
        <v>35</v>
      </c>
      <c r="I34" s="27"/>
      <c r="J34" s="27">
        <f t="shared" ref="J34:N34" si="4">-$I$17*J28</f>
        <v>-12.840000000000002</v>
      </c>
      <c r="K34" s="27">
        <f t="shared" si="4"/>
        <v>-13.738800000000001</v>
      </c>
      <c r="L34" s="27">
        <f t="shared" si="4"/>
        <v>-14.700516000000002</v>
      </c>
      <c r="M34" s="27">
        <f t="shared" si="4"/>
        <v>-15.729552120000003</v>
      </c>
      <c r="N34" s="27">
        <f t="shared" si="4"/>
        <v>-16.830620768400006</v>
      </c>
      <c r="O34" t="s">
        <v>74</v>
      </c>
    </row>
    <row r="35" spans="2:15" x14ac:dyDescent="0.3">
      <c r="B35" s="15" t="s">
        <v>34</v>
      </c>
      <c r="J35" s="26"/>
      <c r="K35" s="26"/>
      <c r="L35" s="26"/>
      <c r="M35" s="26"/>
      <c r="N35" s="26"/>
      <c r="O35" t="s">
        <v>74</v>
      </c>
    </row>
    <row r="36" spans="2:15" x14ac:dyDescent="0.3">
      <c r="O36" t="s">
        <v>74</v>
      </c>
    </row>
    <row r="37" spans="2:15" x14ac:dyDescent="0.3">
      <c r="B37" s="1" t="s">
        <v>37</v>
      </c>
      <c r="I37" s="27"/>
      <c r="J37" s="27">
        <f>J31+J34</f>
        <v>89.88000000000001</v>
      </c>
      <c r="K37" s="27">
        <f t="shared" ref="K37:N37" si="5">K31+K34</f>
        <v>96.171600000000012</v>
      </c>
      <c r="L37" s="27">
        <f t="shared" si="5"/>
        <v>102.90361200000001</v>
      </c>
      <c r="M37" s="27">
        <f t="shared" si="5"/>
        <v>110.10686484000001</v>
      </c>
      <c r="N37" s="27">
        <f t="shared" si="5"/>
        <v>117.81434537880004</v>
      </c>
      <c r="O37" t="s">
        <v>74</v>
      </c>
    </row>
    <row r="38" spans="2:15" x14ac:dyDescent="0.3">
      <c r="O38" t="s">
        <v>74</v>
      </c>
    </row>
    <row r="39" spans="2:15" x14ac:dyDescent="0.3">
      <c r="B39" s="1" t="s">
        <v>57</v>
      </c>
      <c r="I39" s="27"/>
      <c r="J39" s="27">
        <f>-J65</f>
        <v>-45</v>
      </c>
      <c r="K39" s="27">
        <f t="shared" ref="K39:N39" si="6">-K65</f>
        <v>-45</v>
      </c>
      <c r="L39" s="27">
        <f t="shared" si="6"/>
        <v>-45</v>
      </c>
      <c r="M39" s="27">
        <f t="shared" si="6"/>
        <v>-45</v>
      </c>
      <c r="N39" s="27">
        <f t="shared" si="6"/>
        <v>-45</v>
      </c>
      <c r="O39" t="s">
        <v>74</v>
      </c>
    </row>
    <row r="40" spans="2:15" x14ac:dyDescent="0.3">
      <c r="O40" t="s">
        <v>74</v>
      </c>
    </row>
    <row r="41" spans="2:15" x14ac:dyDescent="0.3">
      <c r="B41" s="1" t="s">
        <v>44</v>
      </c>
      <c r="I41" s="27"/>
      <c r="J41" s="27">
        <f>J37+J39</f>
        <v>44.88000000000001</v>
      </c>
      <c r="K41" s="27">
        <f t="shared" ref="K41:N41" si="7">K37+K39</f>
        <v>51.171600000000012</v>
      </c>
      <c r="L41" s="27">
        <f t="shared" si="7"/>
        <v>57.90361200000001</v>
      </c>
      <c r="M41" s="27">
        <f t="shared" si="7"/>
        <v>65.106864840000014</v>
      </c>
      <c r="N41" s="27">
        <f t="shared" si="7"/>
        <v>72.814345378800041</v>
      </c>
      <c r="O41" t="s">
        <v>74</v>
      </c>
    </row>
    <row r="42" spans="2:15" x14ac:dyDescent="0.3">
      <c r="E42" s="62" t="s">
        <v>36</v>
      </c>
      <c r="I42" s="27"/>
      <c r="J42" s="27"/>
      <c r="K42" s="27"/>
      <c r="L42" s="27"/>
      <c r="M42" s="27"/>
      <c r="N42" s="27"/>
      <c r="O42" t="s">
        <v>74</v>
      </c>
    </row>
    <row r="43" spans="2:15" x14ac:dyDescent="0.3">
      <c r="B43" s="1" t="s">
        <v>41</v>
      </c>
      <c r="E43" s="70">
        <f>$I$20</f>
        <v>0.2</v>
      </c>
      <c r="I43" s="27"/>
      <c r="J43" s="27">
        <f>-$E$43*J41</f>
        <v>-8.9760000000000026</v>
      </c>
      <c r="K43" s="27">
        <f t="shared" ref="K43:N43" si="8">-$E$43*K41</f>
        <v>-10.234320000000004</v>
      </c>
      <c r="L43" s="27">
        <f t="shared" si="8"/>
        <v>-11.580722400000003</v>
      </c>
      <c r="M43" s="27">
        <f t="shared" si="8"/>
        <v>-13.021372968000003</v>
      </c>
      <c r="N43" s="27">
        <f t="shared" si="8"/>
        <v>-14.562869075760009</v>
      </c>
      <c r="O43" s="27"/>
    </row>
    <row r="44" spans="2:15" x14ac:dyDescent="0.3">
      <c r="B44" s="1" t="s">
        <v>45</v>
      </c>
      <c r="I44" s="35"/>
      <c r="J44" s="35">
        <f>J41+J43</f>
        <v>35.904000000000011</v>
      </c>
      <c r="K44" s="35">
        <f t="shared" ref="K44:N44" si="9">K41+K43</f>
        <v>40.937280000000008</v>
      </c>
      <c r="L44" s="35">
        <f t="shared" si="9"/>
        <v>46.322889600000011</v>
      </c>
      <c r="M44" s="35">
        <f t="shared" si="9"/>
        <v>52.085491872000013</v>
      </c>
      <c r="N44" s="35">
        <f t="shared" si="9"/>
        <v>58.251476303040036</v>
      </c>
      <c r="O44" t="s">
        <v>74</v>
      </c>
    </row>
    <row r="45" spans="2:15" x14ac:dyDescent="0.3">
      <c r="O45" t="s">
        <v>74</v>
      </c>
    </row>
    <row r="46" spans="2:15" x14ac:dyDescent="0.3">
      <c r="O46" t="s">
        <v>74</v>
      </c>
    </row>
    <row r="47" spans="2:15" ht="21" x14ac:dyDescent="0.4">
      <c r="B47" s="59" t="s">
        <v>49</v>
      </c>
      <c r="C47" s="2"/>
      <c r="D47" s="2"/>
      <c r="E47" s="2"/>
      <c r="F47" s="2"/>
      <c r="G47" s="2"/>
      <c r="H47" s="2"/>
      <c r="I47" s="2"/>
      <c r="J47" s="2"/>
      <c r="K47" s="2"/>
      <c r="L47" s="2"/>
      <c r="M47" s="2"/>
      <c r="N47" s="2"/>
      <c r="O47" t="s">
        <v>74</v>
      </c>
    </row>
    <row r="48" spans="2:15" x14ac:dyDescent="0.3">
      <c r="O48" t="s">
        <v>74</v>
      </c>
    </row>
    <row r="49" spans="2:15" x14ac:dyDescent="0.3">
      <c r="B49" s="16" t="s">
        <v>30</v>
      </c>
      <c r="I49" s="60">
        <v>0</v>
      </c>
      <c r="J49" s="61">
        <f>I49+1</f>
        <v>1</v>
      </c>
      <c r="K49" s="61">
        <f t="shared" ref="K49:N49" si="10">J49+1</f>
        <v>2</v>
      </c>
      <c r="L49" s="61">
        <f t="shared" si="10"/>
        <v>3</v>
      </c>
      <c r="M49" s="61">
        <f t="shared" si="10"/>
        <v>4</v>
      </c>
      <c r="N49" s="61">
        <f t="shared" si="10"/>
        <v>5</v>
      </c>
      <c r="O49" t="s">
        <v>74</v>
      </c>
    </row>
    <row r="50" spans="2:15" x14ac:dyDescent="0.3">
      <c r="O50" t="s">
        <v>74</v>
      </c>
    </row>
    <row r="51" spans="2:15" x14ac:dyDescent="0.3">
      <c r="B51" t="s">
        <v>45</v>
      </c>
      <c r="I51" s="27"/>
      <c r="J51" s="27">
        <f>J44</f>
        <v>35.904000000000011</v>
      </c>
      <c r="K51" s="27">
        <f t="shared" ref="K51:N51" si="11">K44</f>
        <v>40.937280000000008</v>
      </c>
      <c r="L51" s="27">
        <f t="shared" si="11"/>
        <v>46.322889600000011</v>
      </c>
      <c r="M51" s="27">
        <f t="shared" si="11"/>
        <v>52.085491872000013</v>
      </c>
      <c r="N51" s="27">
        <f t="shared" si="11"/>
        <v>58.251476303040036</v>
      </c>
      <c r="O51" t="s">
        <v>74</v>
      </c>
    </row>
    <row r="52" spans="2:15" x14ac:dyDescent="0.3">
      <c r="B52" t="s">
        <v>35</v>
      </c>
      <c r="I52" s="27"/>
      <c r="J52" s="27">
        <f>-J34</f>
        <v>12.840000000000002</v>
      </c>
      <c r="K52" s="27">
        <f t="shared" ref="K52:N52" si="12">-K34</f>
        <v>13.738800000000001</v>
      </c>
      <c r="L52" s="27">
        <f t="shared" si="12"/>
        <v>14.700516000000002</v>
      </c>
      <c r="M52" s="27">
        <f t="shared" si="12"/>
        <v>15.729552120000003</v>
      </c>
      <c r="N52" s="27">
        <f t="shared" si="12"/>
        <v>16.830620768400006</v>
      </c>
      <c r="O52" t="s">
        <v>74</v>
      </c>
    </row>
    <row r="53" spans="2:15" x14ac:dyDescent="0.3">
      <c r="B53" t="s">
        <v>48</v>
      </c>
      <c r="I53" s="27"/>
      <c r="J53" s="27">
        <f>-$I$16*J28</f>
        <v>-20.544</v>
      </c>
      <c r="K53" s="27">
        <f t="shared" ref="K53:N53" si="13">-$I$16*K28</f>
        <v>-21.98208</v>
      </c>
      <c r="L53" s="27">
        <f t="shared" si="13"/>
        <v>-23.520825600000002</v>
      </c>
      <c r="M53" s="27">
        <f t="shared" si="13"/>
        <v>-25.167283392000005</v>
      </c>
      <c r="N53" s="27">
        <f t="shared" si="13"/>
        <v>-26.928993229440007</v>
      </c>
      <c r="O53" t="s">
        <v>74</v>
      </c>
    </row>
    <row r="54" spans="2:15" x14ac:dyDescent="0.3">
      <c r="B54" t="s">
        <v>111</v>
      </c>
      <c r="I54" s="27"/>
      <c r="J54" s="27">
        <f>J61</f>
        <v>-3.3600000000000065</v>
      </c>
      <c r="K54" s="27">
        <f t="shared" ref="K54:N54" si="14">K61</f>
        <v>-3.5951999999999984</v>
      </c>
      <c r="L54" s="27">
        <f t="shared" si="14"/>
        <v>-3.8468640000000036</v>
      </c>
      <c r="M54" s="27">
        <f t="shared" si="14"/>
        <v>-4.1161444800000027</v>
      </c>
      <c r="N54" s="27">
        <f t="shared" si="14"/>
        <v>-4.4042745936000145</v>
      </c>
      <c r="O54" t="s">
        <v>74</v>
      </c>
    </row>
    <row r="55" spans="2:15" x14ac:dyDescent="0.3">
      <c r="B55" s="1" t="s">
        <v>56</v>
      </c>
      <c r="I55" s="27"/>
      <c r="J55" s="28">
        <f>SUM(J51:J54)</f>
        <v>24.840000000000007</v>
      </c>
      <c r="K55" s="28">
        <f t="shared" ref="K55:N55" si="15">SUM(K51:K54)</f>
        <v>29.098800000000018</v>
      </c>
      <c r="L55" s="28">
        <f t="shared" si="15"/>
        <v>33.655716000000005</v>
      </c>
      <c r="M55" s="28">
        <f t="shared" si="15"/>
        <v>38.53161612000001</v>
      </c>
      <c r="N55" s="28">
        <f t="shared" si="15"/>
        <v>43.748829248400021</v>
      </c>
      <c r="O55" t="s">
        <v>74</v>
      </c>
    </row>
    <row r="56" spans="2:15" x14ac:dyDescent="0.3">
      <c r="B56" t="s">
        <v>52</v>
      </c>
      <c r="I56" s="4"/>
      <c r="J56" s="35">
        <f>I56+J55</f>
        <v>24.840000000000007</v>
      </c>
      <c r="K56" s="35">
        <f t="shared" ref="K56:N56" si="16">J56+K55</f>
        <v>53.938800000000029</v>
      </c>
      <c r="L56" s="35">
        <f t="shared" si="16"/>
        <v>87.594516000000027</v>
      </c>
      <c r="M56" s="35">
        <f t="shared" si="16"/>
        <v>126.12613212000004</v>
      </c>
      <c r="N56" s="35">
        <f t="shared" si="16"/>
        <v>169.87496136840005</v>
      </c>
      <c r="O56" t="s">
        <v>74</v>
      </c>
    </row>
    <row r="57" spans="2:15" x14ac:dyDescent="0.3">
      <c r="O57" t="s">
        <v>74</v>
      </c>
    </row>
    <row r="58" spans="2:15" ht="18" x14ac:dyDescent="0.35">
      <c r="B58" s="33" t="s">
        <v>55</v>
      </c>
      <c r="C58" s="63"/>
      <c r="D58" s="63"/>
      <c r="E58" s="63"/>
      <c r="F58" s="63"/>
      <c r="G58" s="63"/>
      <c r="H58" s="63"/>
      <c r="I58" s="63"/>
      <c r="J58" s="63"/>
      <c r="K58" s="63"/>
      <c r="L58" s="63"/>
      <c r="M58" s="63"/>
      <c r="N58" s="63"/>
      <c r="O58" t="s">
        <v>74</v>
      </c>
    </row>
    <row r="59" spans="2:15" x14ac:dyDescent="0.3">
      <c r="O59" t="s">
        <v>74</v>
      </c>
    </row>
    <row r="60" spans="2:15" x14ac:dyDescent="0.3">
      <c r="B60" t="s">
        <v>47</v>
      </c>
      <c r="I60" s="134">
        <v>48</v>
      </c>
      <c r="J60" s="27">
        <f>$I$19*J28</f>
        <v>51.360000000000007</v>
      </c>
      <c r="K60" s="27">
        <f t="shared" ref="K60:N60" si="17">$I$19*K28</f>
        <v>54.955200000000005</v>
      </c>
      <c r="L60" s="27">
        <f t="shared" si="17"/>
        <v>58.802064000000009</v>
      </c>
      <c r="M60" s="27">
        <f t="shared" si="17"/>
        <v>62.918208480000011</v>
      </c>
      <c r="N60" s="27">
        <f t="shared" si="17"/>
        <v>67.322483073600026</v>
      </c>
      <c r="O60" s="27" t="s">
        <v>74</v>
      </c>
    </row>
    <row r="61" spans="2:15" x14ac:dyDescent="0.3">
      <c r="B61" t="s">
        <v>54</v>
      </c>
      <c r="J61" s="27">
        <f>I60-J60</f>
        <v>-3.3600000000000065</v>
      </c>
      <c r="K61" s="27">
        <f t="shared" ref="K61:N61" si="18">J60-K60</f>
        <v>-3.5951999999999984</v>
      </c>
      <c r="L61" s="27">
        <f t="shared" si="18"/>
        <v>-3.8468640000000036</v>
      </c>
      <c r="M61" s="27">
        <f t="shared" si="18"/>
        <v>-4.1161444800000027</v>
      </c>
      <c r="N61" s="27">
        <f t="shared" si="18"/>
        <v>-4.4042745936000145</v>
      </c>
      <c r="O61" t="s">
        <v>74</v>
      </c>
    </row>
    <row r="62" spans="2:15" x14ac:dyDescent="0.3">
      <c r="O62" t="s">
        <v>74</v>
      </c>
    </row>
    <row r="63" spans="2:15" x14ac:dyDescent="0.3">
      <c r="B63" t="s">
        <v>13</v>
      </c>
      <c r="J63">
        <f>H8</f>
        <v>500</v>
      </c>
      <c r="K63">
        <f>J63</f>
        <v>500</v>
      </c>
      <c r="L63">
        <f t="shared" ref="L63:N63" si="19">K63</f>
        <v>500</v>
      </c>
      <c r="M63">
        <f t="shared" si="19"/>
        <v>500</v>
      </c>
      <c r="N63">
        <f t="shared" si="19"/>
        <v>500</v>
      </c>
      <c r="O63" t="s">
        <v>74</v>
      </c>
    </row>
    <row r="64" spans="2:15" x14ac:dyDescent="0.3">
      <c r="B64" t="s">
        <v>28</v>
      </c>
      <c r="J64" s="26">
        <f>I18</f>
        <v>0.09</v>
      </c>
      <c r="K64" s="26">
        <f>J64</f>
        <v>0.09</v>
      </c>
      <c r="L64" s="26">
        <f t="shared" ref="L64:N64" si="20">K64</f>
        <v>0.09</v>
      </c>
      <c r="M64" s="26">
        <f t="shared" si="20"/>
        <v>0.09</v>
      </c>
      <c r="N64" s="26">
        <f t="shared" si="20"/>
        <v>0.09</v>
      </c>
      <c r="O64" t="s">
        <v>74</v>
      </c>
    </row>
    <row r="65" spans="2:15" x14ac:dyDescent="0.3">
      <c r="B65" t="s">
        <v>57</v>
      </c>
      <c r="J65">
        <f>J64*J63</f>
        <v>45</v>
      </c>
      <c r="K65">
        <f>K64*K63</f>
        <v>45</v>
      </c>
      <c r="L65">
        <f t="shared" ref="L65:N65" si="21">L64*L63</f>
        <v>45</v>
      </c>
      <c r="M65">
        <f t="shared" si="21"/>
        <v>45</v>
      </c>
      <c r="N65">
        <f t="shared" si="21"/>
        <v>45</v>
      </c>
      <c r="O65" t="s">
        <v>74</v>
      </c>
    </row>
    <row r="66" spans="2:15" x14ac:dyDescent="0.3">
      <c r="O66" t="s">
        <v>74</v>
      </c>
    </row>
    <row r="67" spans="2:15" x14ac:dyDescent="0.3">
      <c r="B67" t="s">
        <v>92</v>
      </c>
      <c r="O67" t="s">
        <v>74</v>
      </c>
    </row>
    <row r="68" spans="2:15" x14ac:dyDescent="0.3">
      <c r="O68" t="s">
        <v>74</v>
      </c>
    </row>
    <row r="69" spans="2:15" x14ac:dyDescent="0.3">
      <c r="O69" t="s">
        <v>74</v>
      </c>
    </row>
    <row r="70" spans="2:15" ht="21" x14ac:dyDescent="0.4">
      <c r="B70" s="59" t="s">
        <v>58</v>
      </c>
      <c r="C70" s="2"/>
      <c r="D70" s="2"/>
      <c r="E70" s="2"/>
      <c r="F70" s="2"/>
      <c r="G70" s="2"/>
      <c r="H70" s="2"/>
      <c r="I70" s="2"/>
      <c r="J70" s="2"/>
      <c r="K70" s="2"/>
      <c r="L70" s="2"/>
      <c r="M70" s="2"/>
      <c r="N70" s="2"/>
      <c r="O70" t="s">
        <v>74</v>
      </c>
    </row>
    <row r="71" spans="2:15" x14ac:dyDescent="0.3">
      <c r="O71" t="s">
        <v>74</v>
      </c>
    </row>
    <row r="72" spans="2:15" x14ac:dyDescent="0.3">
      <c r="B72" s="3" t="s">
        <v>94</v>
      </c>
      <c r="C72" s="3"/>
      <c r="D72" s="3"/>
      <c r="E72" s="3"/>
      <c r="G72" s="3" t="s">
        <v>64</v>
      </c>
      <c r="H72" s="4"/>
      <c r="I72" s="4"/>
      <c r="K72" s="3" t="s">
        <v>93</v>
      </c>
      <c r="L72" s="4"/>
      <c r="M72" s="4"/>
      <c r="O72" t="s">
        <v>74</v>
      </c>
    </row>
    <row r="73" spans="2:15" x14ac:dyDescent="0.3">
      <c r="B73" t="s">
        <v>60</v>
      </c>
      <c r="D73">
        <f>(N31-I31)*D7</f>
        <v>367.12717839840047</v>
      </c>
      <c r="G73" t="s">
        <v>66</v>
      </c>
      <c r="I73" s="27">
        <f>N31</f>
        <v>134.64496614720005</v>
      </c>
      <c r="K73" t="s">
        <v>69</v>
      </c>
      <c r="M73" s="27">
        <f>I79</f>
        <v>949.0021397668005</v>
      </c>
      <c r="O73" t="s">
        <v>74</v>
      </c>
    </row>
    <row r="74" spans="2:15" x14ac:dyDescent="0.3">
      <c r="B74" t="s">
        <v>61</v>
      </c>
      <c r="D74">
        <f>(D8-D7)*N31</f>
        <v>0</v>
      </c>
      <c r="G74" t="s">
        <v>157</v>
      </c>
      <c r="I74" s="5">
        <f>D8</f>
        <v>9.5</v>
      </c>
      <c r="K74" t="s">
        <v>103</v>
      </c>
      <c r="M74">
        <f>H9</f>
        <v>412</v>
      </c>
      <c r="O74" t="s">
        <v>74</v>
      </c>
    </row>
    <row r="75" spans="2:15" x14ac:dyDescent="0.3">
      <c r="B75" s="4" t="s">
        <v>62</v>
      </c>
      <c r="C75" s="4"/>
      <c r="D75" s="35">
        <f>N56</f>
        <v>169.87496136840005</v>
      </c>
      <c r="E75" s="4"/>
      <c r="G75" t="s">
        <v>155</v>
      </c>
      <c r="I75" s="27">
        <f>I74*I73</f>
        <v>1279.1271783984005</v>
      </c>
      <c r="K75" t="s">
        <v>73</v>
      </c>
      <c r="M75" s="61">
        <f>N49</f>
        <v>5</v>
      </c>
      <c r="O75" t="s">
        <v>74</v>
      </c>
    </row>
    <row r="76" spans="2:15" ht="15" thickBot="1" x14ac:dyDescent="0.35">
      <c r="B76" t="s">
        <v>97</v>
      </c>
      <c r="D76" s="1">
        <f>SUM(D73:D75)</f>
        <v>537.0021397668005</v>
      </c>
      <c r="G76" t="s">
        <v>13</v>
      </c>
      <c r="I76">
        <f>N63</f>
        <v>500</v>
      </c>
      <c r="O76" t="s">
        <v>74</v>
      </c>
    </row>
    <row r="77" spans="2:15" x14ac:dyDescent="0.3">
      <c r="G77" t="s">
        <v>81</v>
      </c>
      <c r="I77" s="27">
        <f>N56</f>
        <v>169.87496136840005</v>
      </c>
      <c r="K77" s="40" t="s">
        <v>39</v>
      </c>
      <c r="L77" s="41"/>
      <c r="M77" s="135">
        <f>(M73/M74)^(1/M75)-1</f>
        <v>0.18160955749112939</v>
      </c>
      <c r="O77" t="s">
        <v>74</v>
      </c>
    </row>
    <row r="78" spans="2:15" ht="15" thickBot="1" x14ac:dyDescent="0.35">
      <c r="G78" t="s">
        <v>9</v>
      </c>
      <c r="I78" s="27">
        <f>I76-I77</f>
        <v>330.12503863159998</v>
      </c>
      <c r="K78" s="43" t="s">
        <v>40</v>
      </c>
      <c r="L78" s="44"/>
      <c r="M78" s="136">
        <f>M73/M74</f>
        <v>2.3034032518611665</v>
      </c>
    </row>
    <row r="79" spans="2:15" x14ac:dyDescent="0.3">
      <c r="G79" s="1" t="s">
        <v>158</v>
      </c>
      <c r="H79" s="1"/>
      <c r="I79" s="29">
        <f>I75-I78</f>
        <v>949.0021397668005</v>
      </c>
      <c r="O79" t="s">
        <v>74</v>
      </c>
    </row>
    <row r="80" spans="2:15" x14ac:dyDescent="0.3">
      <c r="O80" t="s">
        <v>74</v>
      </c>
    </row>
    <row r="81" spans="2:15" x14ac:dyDescent="0.3">
      <c r="O81" t="s">
        <v>74</v>
      </c>
    </row>
    <row r="82" spans="2:15" x14ac:dyDescent="0.3">
      <c r="D82" s="28">
        <f>I79-M74</f>
        <v>537.0021397668005</v>
      </c>
      <c r="O82" t="s">
        <v>74</v>
      </c>
    </row>
    <row r="83" spans="2:15" x14ac:dyDescent="0.3">
      <c r="O83" t="s">
        <v>74</v>
      </c>
    </row>
    <row r="84" spans="2:15" x14ac:dyDescent="0.3">
      <c r="O84" t="s">
        <v>74</v>
      </c>
    </row>
    <row r="85" spans="2:15" x14ac:dyDescent="0.3">
      <c r="O85" t="s">
        <v>74</v>
      </c>
    </row>
    <row r="86" spans="2:15" x14ac:dyDescent="0.3">
      <c r="O86" t="s">
        <v>74</v>
      </c>
    </row>
    <row r="87" spans="2:15" x14ac:dyDescent="0.3">
      <c r="B87" s="4"/>
      <c r="C87" s="4"/>
      <c r="D87" s="4"/>
      <c r="E87" s="4"/>
      <c r="F87" s="4"/>
      <c r="G87" s="4"/>
      <c r="H87" s="4"/>
      <c r="I87" s="4"/>
      <c r="J87" s="4"/>
      <c r="K87" s="4"/>
      <c r="L87" s="4"/>
      <c r="M87" s="4"/>
      <c r="N87" s="4"/>
      <c r="O87" t="s">
        <v>74</v>
      </c>
    </row>
    <row r="88" spans="2:15" x14ac:dyDescent="0.3">
      <c r="O88" t="s">
        <v>74</v>
      </c>
    </row>
    <row r="89" spans="2:15" x14ac:dyDescent="0.3">
      <c r="O89" t="s">
        <v>74</v>
      </c>
    </row>
    <row r="90" spans="2:15" x14ac:dyDescent="0.3">
      <c r="O90" t="s">
        <v>74</v>
      </c>
    </row>
    <row r="91" spans="2:15" x14ac:dyDescent="0.3">
      <c r="O91" t="s">
        <v>74</v>
      </c>
    </row>
    <row r="92" spans="2:15" x14ac:dyDescent="0.3">
      <c r="O92" t="s">
        <v>74</v>
      </c>
    </row>
    <row r="93" spans="2:15" x14ac:dyDescent="0.3">
      <c r="O93" t="s">
        <v>74</v>
      </c>
    </row>
    <row r="94" spans="2:15" x14ac:dyDescent="0.3">
      <c r="O94" t="s">
        <v>74</v>
      </c>
    </row>
    <row r="95" spans="2:15" x14ac:dyDescent="0.3">
      <c r="O95" t="s">
        <v>74</v>
      </c>
    </row>
    <row r="96" spans="2:15" x14ac:dyDescent="0.3">
      <c r="O96" t="s">
        <v>74</v>
      </c>
    </row>
    <row r="97" spans="15:15" x14ac:dyDescent="0.3">
      <c r="O97" t="s">
        <v>74</v>
      </c>
    </row>
    <row r="98" spans="15:15" x14ac:dyDescent="0.3">
      <c r="O98" t="s">
        <v>74</v>
      </c>
    </row>
    <row r="99" spans="15:15" x14ac:dyDescent="0.3">
      <c r="O99" t="s">
        <v>74</v>
      </c>
    </row>
    <row r="100" spans="15:15" x14ac:dyDescent="0.3">
      <c r="O100" t="s">
        <v>74</v>
      </c>
    </row>
    <row r="101" spans="15:15" x14ac:dyDescent="0.3">
      <c r="O101" t="s">
        <v>74</v>
      </c>
    </row>
    <row r="102" spans="15:15" x14ac:dyDescent="0.3">
      <c r="O102" t="s">
        <v>74</v>
      </c>
    </row>
    <row r="103" spans="15:15" x14ac:dyDescent="0.3">
      <c r="O103" t="s">
        <v>74</v>
      </c>
    </row>
    <row r="104" spans="15:15" x14ac:dyDescent="0.3">
      <c r="O104" t="s">
        <v>74</v>
      </c>
    </row>
    <row r="105" spans="15:15" x14ac:dyDescent="0.3">
      <c r="O105" t="s">
        <v>74</v>
      </c>
    </row>
    <row r="106" spans="15:15" x14ac:dyDescent="0.3">
      <c r="O106" t="s">
        <v>74</v>
      </c>
    </row>
    <row r="107" spans="15:15" x14ac:dyDescent="0.3">
      <c r="O107" t="s">
        <v>74</v>
      </c>
    </row>
    <row r="108" spans="15:15" x14ac:dyDescent="0.3">
      <c r="O108" t="s">
        <v>74</v>
      </c>
    </row>
    <row r="109" spans="15:15" x14ac:dyDescent="0.3">
      <c r="O109" t="s">
        <v>74</v>
      </c>
    </row>
    <row r="110" spans="15:15" x14ac:dyDescent="0.3">
      <c r="O110" t="s">
        <v>74</v>
      </c>
    </row>
    <row r="111" spans="15:15" x14ac:dyDescent="0.3">
      <c r="O111" t="s">
        <v>74</v>
      </c>
    </row>
    <row r="112" spans="15:15" x14ac:dyDescent="0.3">
      <c r="O112" t="s">
        <v>74</v>
      </c>
    </row>
    <row r="113" spans="15:15" x14ac:dyDescent="0.3">
      <c r="O113" t="s">
        <v>74</v>
      </c>
    </row>
    <row r="114" spans="15:15" x14ac:dyDescent="0.3">
      <c r="O114" t="s">
        <v>74</v>
      </c>
    </row>
    <row r="115" spans="15:15" x14ac:dyDescent="0.3">
      <c r="O115" t="s">
        <v>74</v>
      </c>
    </row>
    <row r="116" spans="15:15" x14ac:dyDescent="0.3">
      <c r="O116" t="s">
        <v>74</v>
      </c>
    </row>
    <row r="117" spans="15:15" x14ac:dyDescent="0.3">
      <c r="O117" t="s">
        <v>74</v>
      </c>
    </row>
    <row r="118" spans="15:15" x14ac:dyDescent="0.3">
      <c r="O118" t="s">
        <v>74</v>
      </c>
    </row>
    <row r="119" spans="15:15" x14ac:dyDescent="0.3">
      <c r="O119" t="s">
        <v>74</v>
      </c>
    </row>
    <row r="120" spans="15:15" x14ac:dyDescent="0.3">
      <c r="O120" t="s">
        <v>74</v>
      </c>
    </row>
    <row r="121" spans="15:15" x14ac:dyDescent="0.3">
      <c r="O121" t="s">
        <v>74</v>
      </c>
    </row>
    <row r="122" spans="15:15" x14ac:dyDescent="0.3">
      <c r="O122" t="s">
        <v>74</v>
      </c>
    </row>
    <row r="123" spans="15:15" x14ac:dyDescent="0.3">
      <c r="O123" t="s">
        <v>74</v>
      </c>
    </row>
    <row r="124" spans="15:15" x14ac:dyDescent="0.3">
      <c r="O124" t="s">
        <v>74</v>
      </c>
    </row>
    <row r="125" spans="15:15" x14ac:dyDescent="0.3">
      <c r="O125" t="s">
        <v>74</v>
      </c>
    </row>
    <row r="126" spans="15:15" x14ac:dyDescent="0.3">
      <c r="O126" t="s">
        <v>74</v>
      </c>
    </row>
    <row r="127" spans="15:15" x14ac:dyDescent="0.3">
      <c r="O127" t="s">
        <v>74</v>
      </c>
    </row>
    <row r="128" spans="15:15" x14ac:dyDescent="0.3">
      <c r="O128" t="s">
        <v>74</v>
      </c>
    </row>
    <row r="129" spans="15:15" x14ac:dyDescent="0.3">
      <c r="O129" t="s">
        <v>74</v>
      </c>
    </row>
    <row r="130" spans="15:15" x14ac:dyDescent="0.3">
      <c r="O130" t="s">
        <v>74</v>
      </c>
    </row>
    <row r="131" spans="15:15" x14ac:dyDescent="0.3">
      <c r="O131" t="s">
        <v>74</v>
      </c>
    </row>
    <row r="132" spans="15:15" x14ac:dyDescent="0.3">
      <c r="O132" t="s">
        <v>74</v>
      </c>
    </row>
    <row r="133" spans="15:15" x14ac:dyDescent="0.3">
      <c r="O133" t="s">
        <v>74</v>
      </c>
    </row>
    <row r="134" spans="15:15" x14ac:dyDescent="0.3">
      <c r="O134" t="s">
        <v>74</v>
      </c>
    </row>
    <row r="135" spans="15:15" x14ac:dyDescent="0.3">
      <c r="O135" t="s">
        <v>74</v>
      </c>
    </row>
    <row r="136" spans="15:15" x14ac:dyDescent="0.3">
      <c r="O136" t="s">
        <v>74</v>
      </c>
    </row>
    <row r="137" spans="15:15" x14ac:dyDescent="0.3">
      <c r="O137" t="s">
        <v>74</v>
      </c>
    </row>
    <row r="138" spans="15:15" x14ac:dyDescent="0.3">
      <c r="O138" t="s">
        <v>74</v>
      </c>
    </row>
    <row r="139" spans="15:15" x14ac:dyDescent="0.3">
      <c r="O139" t="s">
        <v>74</v>
      </c>
    </row>
    <row r="140" spans="15:15" x14ac:dyDescent="0.3">
      <c r="O140" t="s">
        <v>74</v>
      </c>
    </row>
    <row r="141" spans="15:15" x14ac:dyDescent="0.3">
      <c r="O141" t="s">
        <v>74</v>
      </c>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ED5E-6654-45E2-B7C3-ACB6E79C7BAA}">
  <dimension ref="B2:O141"/>
  <sheetViews>
    <sheetView showGridLines="0" tabSelected="1" zoomScale="91" workbookViewId="0">
      <selection activeCell="B2" sqref="B2"/>
    </sheetView>
  </sheetViews>
  <sheetFormatPr defaultRowHeight="14.4" x14ac:dyDescent="0.3"/>
  <cols>
    <col min="1" max="1" width="4.77734375" customWidth="1"/>
    <col min="2" max="2" width="16.77734375" customWidth="1"/>
    <col min="3" max="14" width="11.77734375" customWidth="1"/>
  </cols>
  <sheetData>
    <row r="2" spans="2:15" ht="21" x14ac:dyDescent="0.4">
      <c r="B2" s="59" t="s">
        <v>88</v>
      </c>
      <c r="C2" s="2"/>
      <c r="D2" s="2"/>
      <c r="E2" s="2"/>
      <c r="F2" s="2"/>
      <c r="G2" s="2"/>
      <c r="H2" s="2"/>
      <c r="I2" s="2"/>
      <c r="J2" s="2"/>
      <c r="K2" s="2"/>
      <c r="L2" s="2"/>
      <c r="M2" s="2"/>
      <c r="N2" s="2"/>
      <c r="O2" t="s">
        <v>74</v>
      </c>
    </row>
    <row r="3" spans="2:15" x14ac:dyDescent="0.3">
      <c r="O3" t="s">
        <v>74</v>
      </c>
    </row>
    <row r="4" spans="2:15" x14ac:dyDescent="0.3">
      <c r="B4" s="16" t="s">
        <v>30</v>
      </c>
    </row>
    <row r="6" spans="2:15" x14ac:dyDescent="0.3">
      <c r="B6" s="3" t="s">
        <v>0</v>
      </c>
      <c r="C6" s="4"/>
      <c r="D6" s="4"/>
      <c r="F6" s="3" t="s">
        <v>89</v>
      </c>
      <c r="G6" s="4"/>
      <c r="H6" s="58" t="s">
        <v>16</v>
      </c>
      <c r="I6" s="58" t="s">
        <v>17</v>
      </c>
      <c r="K6" s="3" t="s">
        <v>90</v>
      </c>
      <c r="L6" s="4"/>
      <c r="M6" s="58" t="s">
        <v>16</v>
      </c>
      <c r="O6" t="s">
        <v>74</v>
      </c>
    </row>
    <row r="7" spans="2:15" x14ac:dyDescent="0.3">
      <c r="B7" t="s">
        <v>2</v>
      </c>
      <c r="D7" s="8">
        <v>9.5</v>
      </c>
      <c r="F7" t="s">
        <v>104</v>
      </c>
      <c r="H7" s="24">
        <f>D13</f>
        <v>40</v>
      </c>
      <c r="I7" s="68">
        <f>H7/D9</f>
        <v>0.41666666666666669</v>
      </c>
      <c r="K7" t="s">
        <v>96</v>
      </c>
      <c r="M7" s="10">
        <f>D16</f>
        <v>732</v>
      </c>
      <c r="O7" t="s">
        <v>74</v>
      </c>
    </row>
    <row r="8" spans="2:15" x14ac:dyDescent="0.3">
      <c r="B8" t="s">
        <v>3</v>
      </c>
      <c r="D8" s="8">
        <v>9.5</v>
      </c>
      <c r="F8" t="s">
        <v>13</v>
      </c>
      <c r="H8" s="23">
        <v>500</v>
      </c>
      <c r="I8" s="68">
        <f>H8/$D$9</f>
        <v>5.208333333333333</v>
      </c>
      <c r="K8" s="4" t="s">
        <v>20</v>
      </c>
      <c r="L8" s="4"/>
      <c r="M8" s="13">
        <f>D14</f>
        <v>220</v>
      </c>
      <c r="O8" t="s">
        <v>74</v>
      </c>
    </row>
    <row r="9" spans="2:15" x14ac:dyDescent="0.3">
      <c r="B9" t="s">
        <v>4</v>
      </c>
      <c r="D9" s="6">
        <v>96</v>
      </c>
      <c r="F9" s="4" t="s">
        <v>95</v>
      </c>
      <c r="G9" s="4"/>
      <c r="H9" s="35">
        <f>H10-SUM(H7:H8)</f>
        <v>412</v>
      </c>
      <c r="I9" s="69">
        <f t="shared" ref="I9" si="0">H9/$D$9</f>
        <v>4.291666666666667</v>
      </c>
      <c r="K9" t="s">
        <v>97</v>
      </c>
      <c r="M9" s="11">
        <f>SUM(M7:M8)</f>
        <v>952</v>
      </c>
      <c r="O9" t="s">
        <v>74</v>
      </c>
    </row>
    <row r="10" spans="2:15" x14ac:dyDescent="0.3">
      <c r="F10" t="s">
        <v>97</v>
      </c>
      <c r="H10" s="27">
        <f>M9</f>
        <v>952</v>
      </c>
      <c r="I10" s="68">
        <f>SUM(I7:I9)</f>
        <v>9.9166666666666679</v>
      </c>
      <c r="O10" t="s">
        <v>74</v>
      </c>
    </row>
    <row r="11" spans="2:15" x14ac:dyDescent="0.3">
      <c r="B11" s="3" t="s">
        <v>5</v>
      </c>
      <c r="C11" s="4"/>
      <c r="D11" s="4"/>
      <c r="O11" t="s">
        <v>74</v>
      </c>
    </row>
    <row r="12" spans="2:15" x14ac:dyDescent="0.3">
      <c r="B12" t="s">
        <v>98</v>
      </c>
      <c r="D12" s="6">
        <f>D9*D7</f>
        <v>912</v>
      </c>
      <c r="O12" t="s">
        <v>74</v>
      </c>
    </row>
    <row r="13" spans="2:15" x14ac:dyDescent="0.3">
      <c r="B13" t="s">
        <v>99</v>
      </c>
      <c r="D13" s="6">
        <v>40</v>
      </c>
      <c r="F13" s="3" t="s">
        <v>23</v>
      </c>
      <c r="G13" s="3"/>
      <c r="H13" s="3"/>
      <c r="I13" s="3"/>
      <c r="K13" s="3" t="s">
        <v>38</v>
      </c>
      <c r="L13" s="4"/>
      <c r="M13" s="4"/>
      <c r="O13" t="s">
        <v>74</v>
      </c>
    </row>
    <row r="14" spans="2:15" ht="15" thickBot="1" x14ac:dyDescent="0.35">
      <c r="B14" t="s">
        <v>13</v>
      </c>
      <c r="D14" s="6">
        <v>220</v>
      </c>
      <c r="F14" t="s">
        <v>25</v>
      </c>
      <c r="I14" s="66">
        <v>7.0000000000000007E-2</v>
      </c>
      <c r="O14" t="s">
        <v>74</v>
      </c>
    </row>
    <row r="15" spans="2:15" x14ac:dyDescent="0.3">
      <c r="B15" t="s">
        <v>9</v>
      </c>
      <c r="D15" s="19">
        <f>D14-D13</f>
        <v>180</v>
      </c>
      <c r="F15" t="s">
        <v>26</v>
      </c>
      <c r="I15" s="66">
        <v>0.2</v>
      </c>
      <c r="K15" s="40" t="s">
        <v>39</v>
      </c>
      <c r="L15" s="41"/>
      <c r="M15" s="42">
        <f>M77</f>
        <v>0.18160955749112939</v>
      </c>
      <c r="O15" t="s">
        <v>74</v>
      </c>
    </row>
    <row r="16" spans="2:15" ht="15" thickBot="1" x14ac:dyDescent="0.35">
      <c r="B16" t="s">
        <v>10</v>
      </c>
      <c r="D16" s="67">
        <f>D12-D15</f>
        <v>732</v>
      </c>
      <c r="F16" t="s">
        <v>29</v>
      </c>
      <c r="I16" s="66">
        <v>0.04</v>
      </c>
      <c r="K16" s="43" t="s">
        <v>40</v>
      </c>
      <c r="L16" s="44"/>
      <c r="M16" s="45">
        <f t="shared" ref="M16" si="1">M78</f>
        <v>2.3034032518611665</v>
      </c>
      <c r="O16" t="s">
        <v>74</v>
      </c>
    </row>
    <row r="17" spans="2:15" x14ac:dyDescent="0.3">
      <c r="D17" s="6"/>
      <c r="F17" t="s">
        <v>27</v>
      </c>
      <c r="I17" s="66">
        <v>2.5000000000000001E-2</v>
      </c>
      <c r="O17" t="s">
        <v>74</v>
      </c>
    </row>
    <row r="18" spans="2:15" x14ac:dyDescent="0.3">
      <c r="F18" t="s">
        <v>100</v>
      </c>
      <c r="I18" s="66">
        <v>0.09</v>
      </c>
      <c r="O18" t="s">
        <v>74</v>
      </c>
    </row>
    <row r="19" spans="2:15" x14ac:dyDescent="0.3">
      <c r="F19" t="s">
        <v>46</v>
      </c>
      <c r="I19" s="66">
        <v>0.1</v>
      </c>
      <c r="O19" t="s">
        <v>74</v>
      </c>
    </row>
    <row r="20" spans="2:15" x14ac:dyDescent="0.3">
      <c r="F20" t="s">
        <v>36</v>
      </c>
      <c r="I20" s="66">
        <v>0.2</v>
      </c>
      <c r="O20" t="s">
        <v>74</v>
      </c>
    </row>
    <row r="21" spans="2:15" x14ac:dyDescent="0.3">
      <c r="O21" t="s">
        <v>74</v>
      </c>
    </row>
    <row r="22" spans="2:15" x14ac:dyDescent="0.3">
      <c r="O22" t="s">
        <v>74</v>
      </c>
    </row>
    <row r="23" spans="2:15" x14ac:dyDescent="0.3">
      <c r="O23" t="s">
        <v>74</v>
      </c>
    </row>
    <row r="24" spans="2:15" ht="21" x14ac:dyDescent="0.4">
      <c r="B24" s="59" t="s">
        <v>24</v>
      </c>
      <c r="C24" s="2"/>
      <c r="D24" s="2"/>
      <c r="E24" s="2"/>
      <c r="F24" s="2"/>
      <c r="G24" s="2"/>
      <c r="H24" s="2"/>
      <c r="I24" s="2"/>
      <c r="J24" s="2"/>
      <c r="K24" s="2"/>
      <c r="L24" s="2"/>
      <c r="M24" s="2"/>
      <c r="N24" s="2"/>
      <c r="O24" t="s">
        <v>74</v>
      </c>
    </row>
    <row r="25" spans="2:15" x14ac:dyDescent="0.3">
      <c r="O25" t="s">
        <v>74</v>
      </c>
    </row>
    <row r="26" spans="2:15" x14ac:dyDescent="0.3">
      <c r="B26" s="16" t="s">
        <v>30</v>
      </c>
      <c r="I26" s="60">
        <v>0</v>
      </c>
      <c r="J26" s="61">
        <f>I26+1</f>
        <v>1</v>
      </c>
      <c r="K26" s="61">
        <f t="shared" ref="K26:N26" si="2">J26+1</f>
        <v>2</v>
      </c>
      <c r="L26" s="61">
        <f t="shared" si="2"/>
        <v>3</v>
      </c>
      <c r="M26" s="61">
        <f t="shared" si="2"/>
        <v>4</v>
      </c>
      <c r="N26" s="61">
        <f t="shared" si="2"/>
        <v>5</v>
      </c>
      <c r="O26" s="61" t="s">
        <v>74</v>
      </c>
    </row>
    <row r="27" spans="2:15" x14ac:dyDescent="0.3">
      <c r="O27" t="s">
        <v>74</v>
      </c>
    </row>
    <row r="28" spans="2:15" x14ac:dyDescent="0.3">
      <c r="B28" s="1" t="s">
        <v>31</v>
      </c>
      <c r="I28" s="23">
        <v>480</v>
      </c>
      <c r="J28" s="27">
        <f>(1+J29)*I28</f>
        <v>513.6</v>
      </c>
      <c r="K28" s="27">
        <f t="shared" ref="K28:N28" si="3">(1+K29)*J28</f>
        <v>549.55200000000002</v>
      </c>
      <c r="L28" s="27">
        <f t="shared" si="3"/>
        <v>588.02064000000007</v>
      </c>
      <c r="M28" s="27">
        <f t="shared" si="3"/>
        <v>629.1820848000001</v>
      </c>
      <c r="N28" s="27">
        <f t="shared" si="3"/>
        <v>673.22483073600017</v>
      </c>
      <c r="O28" t="s">
        <v>74</v>
      </c>
    </row>
    <row r="29" spans="2:15" x14ac:dyDescent="0.3">
      <c r="B29" s="15" t="s">
        <v>91</v>
      </c>
      <c r="J29" s="26">
        <f>$I$14</f>
        <v>7.0000000000000007E-2</v>
      </c>
      <c r="K29" s="26">
        <f t="shared" ref="K29:N29" si="4">$I$14</f>
        <v>7.0000000000000007E-2</v>
      </c>
      <c r="L29" s="26">
        <f t="shared" si="4"/>
        <v>7.0000000000000007E-2</v>
      </c>
      <c r="M29" s="26">
        <f t="shared" si="4"/>
        <v>7.0000000000000007E-2</v>
      </c>
      <c r="N29" s="26">
        <f t="shared" si="4"/>
        <v>7.0000000000000007E-2</v>
      </c>
      <c r="O29" t="s">
        <v>74</v>
      </c>
    </row>
    <row r="30" spans="2:15" x14ac:dyDescent="0.3">
      <c r="O30" t="s">
        <v>74</v>
      </c>
    </row>
    <row r="31" spans="2:15" x14ac:dyDescent="0.3">
      <c r="B31" s="1" t="s">
        <v>33</v>
      </c>
      <c r="I31" s="27">
        <f>D9</f>
        <v>96</v>
      </c>
      <c r="J31" s="27">
        <f>J32*J28</f>
        <v>102.72000000000001</v>
      </c>
      <c r="K31" s="27">
        <f t="shared" ref="K31:N31" si="5">K32*K28</f>
        <v>109.91040000000001</v>
      </c>
      <c r="L31" s="27">
        <f t="shared" si="5"/>
        <v>117.60412800000002</v>
      </c>
      <c r="M31" s="27">
        <f t="shared" si="5"/>
        <v>125.83641696000002</v>
      </c>
      <c r="N31" s="27">
        <f t="shared" si="5"/>
        <v>134.64496614720005</v>
      </c>
      <c r="O31" t="s">
        <v>74</v>
      </c>
    </row>
    <row r="32" spans="2:15" x14ac:dyDescent="0.3">
      <c r="B32" s="15" t="s">
        <v>34</v>
      </c>
      <c r="J32" s="26">
        <f>$I$15</f>
        <v>0.2</v>
      </c>
      <c r="K32" s="26">
        <f t="shared" ref="K32:N32" si="6">$I$15</f>
        <v>0.2</v>
      </c>
      <c r="L32" s="26">
        <f t="shared" si="6"/>
        <v>0.2</v>
      </c>
      <c r="M32" s="26">
        <f t="shared" si="6"/>
        <v>0.2</v>
      </c>
      <c r="N32" s="26">
        <f t="shared" si="6"/>
        <v>0.2</v>
      </c>
      <c r="O32" t="s">
        <v>74</v>
      </c>
    </row>
    <row r="33" spans="2:15" x14ac:dyDescent="0.3">
      <c r="O33" t="s">
        <v>74</v>
      </c>
    </row>
    <row r="34" spans="2:15" x14ac:dyDescent="0.3">
      <c r="B34" s="1" t="s">
        <v>35</v>
      </c>
      <c r="I34" s="27"/>
      <c r="J34" s="27">
        <f>-J35*J$28</f>
        <v>-12.840000000000002</v>
      </c>
      <c r="K34" s="27">
        <f t="shared" ref="K34:N34" si="7">-K35*K$28</f>
        <v>-13.738800000000001</v>
      </c>
      <c r="L34" s="27">
        <f t="shared" si="7"/>
        <v>-14.700516000000002</v>
      </c>
      <c r="M34" s="27">
        <f t="shared" si="7"/>
        <v>-15.729552120000003</v>
      </c>
      <c r="N34" s="27">
        <f t="shared" si="7"/>
        <v>-16.830620768400006</v>
      </c>
      <c r="O34" t="s">
        <v>74</v>
      </c>
    </row>
    <row r="35" spans="2:15" x14ac:dyDescent="0.3">
      <c r="B35" s="15" t="s">
        <v>34</v>
      </c>
      <c r="J35" s="26">
        <f>$I$17</f>
        <v>2.5000000000000001E-2</v>
      </c>
      <c r="K35" s="26">
        <f t="shared" ref="K35:N35" si="8">$I$17</f>
        <v>2.5000000000000001E-2</v>
      </c>
      <c r="L35" s="26">
        <f t="shared" si="8"/>
        <v>2.5000000000000001E-2</v>
      </c>
      <c r="M35" s="26">
        <f t="shared" si="8"/>
        <v>2.5000000000000001E-2</v>
      </c>
      <c r="N35" s="26">
        <f t="shared" si="8"/>
        <v>2.5000000000000001E-2</v>
      </c>
      <c r="O35" t="s">
        <v>74</v>
      </c>
    </row>
    <row r="36" spans="2:15" x14ac:dyDescent="0.3">
      <c r="O36" t="s">
        <v>74</v>
      </c>
    </row>
    <row r="37" spans="2:15" x14ac:dyDescent="0.3">
      <c r="B37" s="1" t="s">
        <v>37</v>
      </c>
      <c r="I37" s="27"/>
      <c r="J37" s="27">
        <f>J34+J31</f>
        <v>89.88000000000001</v>
      </c>
      <c r="K37" s="27">
        <f t="shared" ref="K37:N37" si="9">K34+K31</f>
        <v>96.171600000000012</v>
      </c>
      <c r="L37" s="27">
        <f t="shared" si="9"/>
        <v>102.90361200000001</v>
      </c>
      <c r="M37" s="27">
        <f t="shared" si="9"/>
        <v>110.10686484000001</v>
      </c>
      <c r="N37" s="27">
        <f t="shared" si="9"/>
        <v>117.81434537880004</v>
      </c>
      <c r="O37" t="s">
        <v>74</v>
      </c>
    </row>
    <row r="38" spans="2:15" x14ac:dyDescent="0.3">
      <c r="O38" t="s">
        <v>74</v>
      </c>
    </row>
    <row r="39" spans="2:15" x14ac:dyDescent="0.3">
      <c r="B39" s="1" t="s">
        <v>57</v>
      </c>
      <c r="I39" s="27"/>
      <c r="J39" s="27">
        <f>J65</f>
        <v>-45</v>
      </c>
      <c r="K39" s="27">
        <f t="shared" ref="K39:N39" si="10">K65</f>
        <v>-45</v>
      </c>
      <c r="L39" s="27">
        <f t="shared" si="10"/>
        <v>-45</v>
      </c>
      <c r="M39" s="27">
        <f t="shared" si="10"/>
        <v>-45</v>
      </c>
      <c r="N39" s="27">
        <f t="shared" si="10"/>
        <v>-45</v>
      </c>
      <c r="O39" t="s">
        <v>74</v>
      </c>
    </row>
    <row r="40" spans="2:15" x14ac:dyDescent="0.3">
      <c r="O40" t="s">
        <v>74</v>
      </c>
    </row>
    <row r="41" spans="2:15" x14ac:dyDescent="0.3">
      <c r="B41" s="1" t="s">
        <v>44</v>
      </c>
      <c r="E41" s="62" t="s">
        <v>36</v>
      </c>
      <c r="I41" s="27"/>
      <c r="J41" s="27">
        <f>J37+J39</f>
        <v>44.88000000000001</v>
      </c>
      <c r="K41" s="27">
        <f t="shared" ref="K41:N41" si="11">K37+K39</f>
        <v>51.171600000000012</v>
      </c>
      <c r="L41" s="27">
        <f t="shared" si="11"/>
        <v>57.90361200000001</v>
      </c>
      <c r="M41" s="27">
        <f t="shared" si="11"/>
        <v>65.106864840000014</v>
      </c>
      <c r="N41" s="27">
        <f t="shared" si="11"/>
        <v>72.814345378800041</v>
      </c>
      <c r="O41" t="s">
        <v>74</v>
      </c>
    </row>
    <row r="42" spans="2:15" x14ac:dyDescent="0.3">
      <c r="E42" s="70">
        <f>$I$20</f>
        <v>0.2</v>
      </c>
      <c r="I42" s="27"/>
      <c r="J42" s="27"/>
      <c r="K42" s="27"/>
      <c r="L42" s="27"/>
      <c r="M42" s="27"/>
      <c r="N42" s="27"/>
      <c r="O42" t="s">
        <v>74</v>
      </c>
    </row>
    <row r="43" spans="2:15" x14ac:dyDescent="0.3">
      <c r="B43" s="1" t="s">
        <v>41</v>
      </c>
      <c r="I43" s="27"/>
      <c r="J43" s="27">
        <f>-$E$42*J41</f>
        <v>-8.9760000000000026</v>
      </c>
      <c r="K43" s="27">
        <f t="shared" ref="K43:N43" si="12">-$E$42*K41</f>
        <v>-10.234320000000004</v>
      </c>
      <c r="L43" s="27">
        <f t="shared" si="12"/>
        <v>-11.580722400000003</v>
      </c>
      <c r="M43" s="27">
        <f t="shared" si="12"/>
        <v>-13.021372968000003</v>
      </c>
      <c r="N43" s="27">
        <f t="shared" si="12"/>
        <v>-14.562869075760009</v>
      </c>
      <c r="O43" t="s">
        <v>74</v>
      </c>
    </row>
    <row r="44" spans="2:15" x14ac:dyDescent="0.3">
      <c r="B44" s="1" t="s">
        <v>45</v>
      </c>
      <c r="I44" s="35"/>
      <c r="J44" s="29">
        <f>J41+J43</f>
        <v>35.904000000000011</v>
      </c>
      <c r="K44" s="29">
        <f t="shared" ref="K44:N44" si="13">K41+K43</f>
        <v>40.937280000000008</v>
      </c>
      <c r="L44" s="29">
        <f t="shared" si="13"/>
        <v>46.322889600000011</v>
      </c>
      <c r="M44" s="29">
        <f t="shared" si="13"/>
        <v>52.085491872000013</v>
      </c>
      <c r="N44" s="29">
        <f t="shared" si="13"/>
        <v>58.251476303040036</v>
      </c>
      <c r="O44" t="s">
        <v>74</v>
      </c>
    </row>
    <row r="45" spans="2:15" x14ac:dyDescent="0.3">
      <c r="O45" t="s">
        <v>74</v>
      </c>
    </row>
    <row r="46" spans="2:15" x14ac:dyDescent="0.3">
      <c r="O46" t="s">
        <v>74</v>
      </c>
    </row>
    <row r="47" spans="2:15" ht="21" x14ac:dyDescent="0.4">
      <c r="B47" s="59" t="s">
        <v>49</v>
      </c>
      <c r="C47" s="2"/>
      <c r="D47" s="2"/>
      <c r="E47" s="2"/>
      <c r="F47" s="2"/>
      <c r="G47" s="2"/>
      <c r="H47" s="2"/>
      <c r="I47" s="2"/>
      <c r="J47" s="2"/>
      <c r="K47" s="2"/>
      <c r="L47" s="2"/>
      <c r="M47" s="2"/>
      <c r="N47" s="2"/>
      <c r="O47" t="s">
        <v>74</v>
      </c>
    </row>
    <row r="48" spans="2:15" x14ac:dyDescent="0.3">
      <c r="O48" t="s">
        <v>74</v>
      </c>
    </row>
    <row r="49" spans="2:15" x14ac:dyDescent="0.3">
      <c r="B49" s="16" t="s">
        <v>30</v>
      </c>
      <c r="I49" s="60">
        <v>0</v>
      </c>
      <c r="J49" s="61">
        <f>I49+1</f>
        <v>1</v>
      </c>
      <c r="K49" s="61">
        <f t="shared" ref="K49:N49" si="14">J49+1</f>
        <v>2</v>
      </c>
      <c r="L49" s="61">
        <f t="shared" si="14"/>
        <v>3</v>
      </c>
      <c r="M49" s="61">
        <f t="shared" si="14"/>
        <v>4</v>
      </c>
      <c r="N49" s="61">
        <f t="shared" si="14"/>
        <v>5</v>
      </c>
      <c r="O49" t="s">
        <v>74</v>
      </c>
    </row>
    <row r="50" spans="2:15" x14ac:dyDescent="0.3">
      <c r="O50" t="s">
        <v>74</v>
      </c>
    </row>
    <row r="51" spans="2:15" x14ac:dyDescent="0.3">
      <c r="B51" t="s">
        <v>45</v>
      </c>
      <c r="I51" s="27"/>
      <c r="J51" s="27">
        <f>J44</f>
        <v>35.904000000000011</v>
      </c>
      <c r="K51" s="27">
        <f t="shared" ref="K51:N51" si="15">K44</f>
        <v>40.937280000000008</v>
      </c>
      <c r="L51" s="27">
        <f t="shared" si="15"/>
        <v>46.322889600000011</v>
      </c>
      <c r="M51" s="27">
        <f t="shared" si="15"/>
        <v>52.085491872000013</v>
      </c>
      <c r="N51" s="27">
        <f t="shared" si="15"/>
        <v>58.251476303040036</v>
      </c>
      <c r="O51" t="s">
        <v>74</v>
      </c>
    </row>
    <row r="52" spans="2:15" x14ac:dyDescent="0.3">
      <c r="B52" t="s">
        <v>35</v>
      </c>
      <c r="I52" s="27"/>
      <c r="J52" s="27">
        <f>-J34</f>
        <v>12.840000000000002</v>
      </c>
      <c r="K52" s="27">
        <f t="shared" ref="K52:N52" si="16">-K34</f>
        <v>13.738800000000001</v>
      </c>
      <c r="L52" s="27">
        <f t="shared" si="16"/>
        <v>14.700516000000002</v>
      </c>
      <c r="M52" s="27">
        <f t="shared" si="16"/>
        <v>15.729552120000003</v>
      </c>
      <c r="N52" s="27">
        <f t="shared" si="16"/>
        <v>16.830620768400006</v>
      </c>
      <c r="O52" t="s">
        <v>74</v>
      </c>
    </row>
    <row r="53" spans="2:15" x14ac:dyDescent="0.3">
      <c r="B53" t="s">
        <v>48</v>
      </c>
      <c r="I53" s="27"/>
      <c r="J53" s="27">
        <f>-$I$16*J28</f>
        <v>-20.544</v>
      </c>
      <c r="K53" s="27">
        <f t="shared" ref="K53:N53" si="17">-$I$16*K28</f>
        <v>-21.98208</v>
      </c>
      <c r="L53" s="27">
        <f t="shared" si="17"/>
        <v>-23.520825600000002</v>
      </c>
      <c r="M53" s="27">
        <f t="shared" si="17"/>
        <v>-25.167283392000005</v>
      </c>
      <c r="N53" s="27">
        <f t="shared" si="17"/>
        <v>-26.928993229440007</v>
      </c>
      <c r="O53" t="s">
        <v>74</v>
      </c>
    </row>
    <row r="54" spans="2:15" x14ac:dyDescent="0.3">
      <c r="B54" t="s">
        <v>47</v>
      </c>
      <c r="I54" s="27"/>
      <c r="J54" s="27">
        <f>J61</f>
        <v>-3.3600000000000065</v>
      </c>
      <c r="K54" s="27">
        <f t="shared" ref="K54:N54" si="18">K61</f>
        <v>-3.5951999999999984</v>
      </c>
      <c r="L54" s="27">
        <f t="shared" si="18"/>
        <v>-3.8468640000000036</v>
      </c>
      <c r="M54" s="27">
        <f t="shared" si="18"/>
        <v>-4.1161444800000027</v>
      </c>
      <c r="N54" s="27">
        <f t="shared" si="18"/>
        <v>-4.4042745936000145</v>
      </c>
      <c r="O54" t="s">
        <v>74</v>
      </c>
    </row>
    <row r="55" spans="2:15" x14ac:dyDescent="0.3">
      <c r="B55" s="1" t="s">
        <v>56</v>
      </c>
      <c r="I55" s="27"/>
      <c r="J55" s="29">
        <f>SUM(J51:J54)</f>
        <v>24.840000000000007</v>
      </c>
      <c r="K55" s="29">
        <f t="shared" ref="K55:N55" si="19">SUM(K51:K54)</f>
        <v>29.098800000000018</v>
      </c>
      <c r="L55" s="29">
        <f t="shared" si="19"/>
        <v>33.655716000000005</v>
      </c>
      <c r="M55" s="29">
        <f t="shared" si="19"/>
        <v>38.53161612000001</v>
      </c>
      <c r="N55" s="29">
        <f t="shared" si="19"/>
        <v>43.748829248400021</v>
      </c>
      <c r="O55" t="s">
        <v>74</v>
      </c>
    </row>
    <row r="56" spans="2:15" x14ac:dyDescent="0.3">
      <c r="B56" t="s">
        <v>52</v>
      </c>
      <c r="I56" s="4"/>
      <c r="J56" s="35">
        <f>I56+J55</f>
        <v>24.840000000000007</v>
      </c>
      <c r="K56" s="35">
        <f t="shared" ref="K56:N56" si="20">J56+K55</f>
        <v>53.938800000000029</v>
      </c>
      <c r="L56" s="35">
        <f t="shared" si="20"/>
        <v>87.594516000000027</v>
      </c>
      <c r="M56" s="35">
        <f t="shared" si="20"/>
        <v>126.12613212000004</v>
      </c>
      <c r="N56" s="35">
        <f t="shared" si="20"/>
        <v>169.87496136840005</v>
      </c>
      <c r="O56" t="s">
        <v>74</v>
      </c>
    </row>
    <row r="57" spans="2:15" x14ac:dyDescent="0.3">
      <c r="O57" t="s">
        <v>74</v>
      </c>
    </row>
    <row r="58" spans="2:15" ht="18" x14ac:dyDescent="0.35">
      <c r="B58" s="33" t="s">
        <v>55</v>
      </c>
      <c r="C58" s="63"/>
      <c r="D58" s="63"/>
      <c r="E58" s="63"/>
      <c r="F58" s="63"/>
      <c r="G58" s="63"/>
      <c r="H58" s="63"/>
      <c r="I58" s="63"/>
      <c r="J58" s="63"/>
      <c r="K58" s="63"/>
      <c r="L58" s="63"/>
      <c r="M58" s="63"/>
      <c r="N58" s="63"/>
      <c r="O58" t="s">
        <v>74</v>
      </c>
    </row>
    <row r="59" spans="2:15" x14ac:dyDescent="0.3">
      <c r="O59" t="s">
        <v>74</v>
      </c>
    </row>
    <row r="60" spans="2:15" x14ac:dyDescent="0.3">
      <c r="B60" t="s">
        <v>47</v>
      </c>
      <c r="I60" s="23">
        <v>48</v>
      </c>
      <c r="J60" s="27">
        <f>$I$19*J28</f>
        <v>51.360000000000007</v>
      </c>
      <c r="K60" s="27">
        <f t="shared" ref="K60:N60" si="21">$I$19*K28</f>
        <v>54.955200000000005</v>
      </c>
      <c r="L60" s="27">
        <f t="shared" si="21"/>
        <v>58.802064000000009</v>
      </c>
      <c r="M60" s="27">
        <f t="shared" si="21"/>
        <v>62.918208480000011</v>
      </c>
      <c r="N60" s="27">
        <f t="shared" si="21"/>
        <v>67.322483073600026</v>
      </c>
      <c r="O60" t="s">
        <v>74</v>
      </c>
    </row>
    <row r="61" spans="2:15" x14ac:dyDescent="0.3">
      <c r="B61" t="s">
        <v>111</v>
      </c>
      <c r="J61" s="29">
        <f>I60-J60</f>
        <v>-3.3600000000000065</v>
      </c>
      <c r="K61" s="29">
        <f t="shared" ref="K61:N61" si="22">J60-K60</f>
        <v>-3.5951999999999984</v>
      </c>
      <c r="L61" s="29">
        <f t="shared" si="22"/>
        <v>-3.8468640000000036</v>
      </c>
      <c r="M61" s="29">
        <f t="shared" si="22"/>
        <v>-4.1161444800000027</v>
      </c>
      <c r="N61" s="29">
        <f t="shared" si="22"/>
        <v>-4.4042745936000145</v>
      </c>
      <c r="O61" s="1" t="s">
        <v>74</v>
      </c>
    </row>
    <row r="62" spans="2:15" x14ac:dyDescent="0.3">
      <c r="O62" t="s">
        <v>74</v>
      </c>
    </row>
    <row r="63" spans="2:15" x14ac:dyDescent="0.3">
      <c r="B63" t="s">
        <v>50</v>
      </c>
      <c r="J63" s="27">
        <f>H8</f>
        <v>500</v>
      </c>
      <c r="K63" s="27">
        <f>J63</f>
        <v>500</v>
      </c>
      <c r="L63" s="27">
        <f t="shared" ref="L63:N63" si="23">K63</f>
        <v>500</v>
      </c>
      <c r="M63" s="27">
        <f t="shared" si="23"/>
        <v>500</v>
      </c>
      <c r="N63" s="27">
        <f t="shared" si="23"/>
        <v>500</v>
      </c>
      <c r="O63" t="s">
        <v>74</v>
      </c>
    </row>
    <row r="64" spans="2:15" x14ac:dyDescent="0.3">
      <c r="B64" t="s">
        <v>28</v>
      </c>
      <c r="J64" s="36">
        <f>$I$18</f>
        <v>0.09</v>
      </c>
      <c r="K64" s="36">
        <f t="shared" ref="K64:N64" si="24">$I$18</f>
        <v>0.09</v>
      </c>
      <c r="L64" s="36">
        <f t="shared" si="24"/>
        <v>0.09</v>
      </c>
      <c r="M64" s="36">
        <f t="shared" si="24"/>
        <v>0.09</v>
      </c>
      <c r="N64" s="36">
        <f t="shared" si="24"/>
        <v>0.09</v>
      </c>
      <c r="O64" t="s">
        <v>74</v>
      </c>
    </row>
    <row r="65" spans="2:15" x14ac:dyDescent="0.3">
      <c r="B65" s="1" t="s">
        <v>43</v>
      </c>
      <c r="J65" s="28">
        <f>J64*J63*-1</f>
        <v>-45</v>
      </c>
      <c r="K65" s="28">
        <f t="shared" ref="K65:N65" si="25">K64*K63*-1</f>
        <v>-45</v>
      </c>
      <c r="L65" s="28">
        <f t="shared" si="25"/>
        <v>-45</v>
      </c>
      <c r="M65" s="28">
        <f t="shared" si="25"/>
        <v>-45</v>
      </c>
      <c r="N65" s="28">
        <f t="shared" si="25"/>
        <v>-45</v>
      </c>
      <c r="O65" s="27" t="s">
        <v>74</v>
      </c>
    </row>
    <row r="66" spans="2:15" x14ac:dyDescent="0.3">
      <c r="O66" t="s">
        <v>74</v>
      </c>
    </row>
    <row r="67" spans="2:15" x14ac:dyDescent="0.3">
      <c r="B67" t="s">
        <v>126</v>
      </c>
      <c r="N67" s="29">
        <f>N63-N56</f>
        <v>330.12503863159998</v>
      </c>
      <c r="O67" t="s">
        <v>74</v>
      </c>
    </row>
    <row r="68" spans="2:15" x14ac:dyDescent="0.3">
      <c r="O68" t="s">
        <v>74</v>
      </c>
    </row>
    <row r="69" spans="2:15" x14ac:dyDescent="0.3">
      <c r="O69" t="s">
        <v>74</v>
      </c>
    </row>
    <row r="70" spans="2:15" ht="21" x14ac:dyDescent="0.4">
      <c r="B70" s="59" t="s">
        <v>58</v>
      </c>
      <c r="C70" s="2"/>
      <c r="D70" s="2"/>
      <c r="E70" s="2"/>
      <c r="F70" s="2"/>
      <c r="G70" s="2"/>
      <c r="H70" s="2"/>
      <c r="I70" s="2"/>
      <c r="J70" s="2"/>
      <c r="K70" s="2"/>
      <c r="L70" s="2"/>
      <c r="M70" s="2"/>
      <c r="N70" s="2"/>
      <c r="O70" t="s">
        <v>74</v>
      </c>
    </row>
    <row r="71" spans="2:15" x14ac:dyDescent="0.3">
      <c r="O71" t="s">
        <v>74</v>
      </c>
    </row>
    <row r="72" spans="2:15" x14ac:dyDescent="0.3">
      <c r="B72" s="3" t="s">
        <v>94</v>
      </c>
      <c r="C72" s="3"/>
      <c r="D72" s="3"/>
      <c r="E72" s="1"/>
      <c r="G72" s="3" t="s">
        <v>64</v>
      </c>
      <c r="H72" s="4"/>
      <c r="I72" s="4"/>
      <c r="K72" s="3" t="s">
        <v>93</v>
      </c>
      <c r="L72" s="4"/>
      <c r="M72" s="4"/>
      <c r="O72" t="s">
        <v>74</v>
      </c>
    </row>
    <row r="73" spans="2:15" x14ac:dyDescent="0.3">
      <c r="B73" t="s">
        <v>60</v>
      </c>
      <c r="D73" s="27">
        <f>(N31-I31)*D7</f>
        <v>367.12717839840047</v>
      </c>
      <c r="E73" s="86">
        <f>D73/$D$76</f>
        <v>0.6836605503244918</v>
      </c>
      <c r="G73" t="s">
        <v>66</v>
      </c>
      <c r="I73" s="27">
        <f>N31</f>
        <v>134.64496614720005</v>
      </c>
      <c r="K73" t="s">
        <v>69</v>
      </c>
      <c r="M73" s="27">
        <f>I79</f>
        <v>949.0021397668005</v>
      </c>
      <c r="O73" t="s">
        <v>74</v>
      </c>
    </row>
    <row r="74" spans="2:15" x14ac:dyDescent="0.3">
      <c r="B74" t="s">
        <v>61</v>
      </c>
      <c r="D74" s="27">
        <f>(D8-D7)*N31</f>
        <v>0</v>
      </c>
      <c r="E74" s="26">
        <f t="shared" ref="E74:E76" si="26">D74/$D$76</f>
        <v>0</v>
      </c>
      <c r="G74" t="s">
        <v>65</v>
      </c>
      <c r="I74" s="5">
        <f>D8</f>
        <v>9.5</v>
      </c>
      <c r="K74" t="s">
        <v>103</v>
      </c>
      <c r="M74" s="27">
        <f>H9</f>
        <v>412</v>
      </c>
      <c r="O74" t="s">
        <v>74</v>
      </c>
    </row>
    <row r="75" spans="2:15" x14ac:dyDescent="0.3">
      <c r="B75" s="4" t="s">
        <v>62</v>
      </c>
      <c r="C75" s="4"/>
      <c r="D75" s="35">
        <f>N56</f>
        <v>169.87496136840005</v>
      </c>
      <c r="E75" s="36">
        <f t="shared" si="26"/>
        <v>0.31633944967550826</v>
      </c>
      <c r="G75" t="s">
        <v>102</v>
      </c>
      <c r="I75" s="27">
        <f>I73*I74</f>
        <v>1279.1271783984005</v>
      </c>
      <c r="K75" t="s">
        <v>73</v>
      </c>
      <c r="M75" s="61">
        <f>N49</f>
        <v>5</v>
      </c>
      <c r="O75" t="s">
        <v>74</v>
      </c>
    </row>
    <row r="76" spans="2:15" ht="15" thickBot="1" x14ac:dyDescent="0.35">
      <c r="B76" t="s">
        <v>97</v>
      </c>
      <c r="D76" s="27">
        <f>SUM(D73:D75)</f>
        <v>537.0021397668005</v>
      </c>
      <c r="E76" s="26">
        <f t="shared" si="26"/>
        <v>1</v>
      </c>
      <c r="G76" t="s">
        <v>13</v>
      </c>
      <c r="I76" s="27">
        <f>N63</f>
        <v>500</v>
      </c>
      <c r="O76" t="s">
        <v>74</v>
      </c>
    </row>
    <row r="77" spans="2:15" x14ac:dyDescent="0.3">
      <c r="G77" t="s">
        <v>81</v>
      </c>
      <c r="I77" s="27">
        <f>-N56</f>
        <v>-169.87496136840005</v>
      </c>
      <c r="K77" s="40" t="s">
        <v>39</v>
      </c>
      <c r="L77" s="41"/>
      <c r="M77" s="42">
        <f>(M73/M74)^(1/M75)-1</f>
        <v>0.18160955749112939</v>
      </c>
      <c r="O77" t="s">
        <v>74</v>
      </c>
    </row>
    <row r="78" spans="2:15" ht="15" thickBot="1" x14ac:dyDescent="0.35">
      <c r="B78" t="s">
        <v>70</v>
      </c>
      <c r="D78" t="str">
        <f>IF(I79-H9=D76,"OK","Error")</f>
        <v>OK</v>
      </c>
      <c r="G78" t="s">
        <v>68</v>
      </c>
      <c r="I78" s="27">
        <f>SUM(I76:I77)</f>
        <v>330.12503863159998</v>
      </c>
      <c r="K78" s="43" t="s">
        <v>40</v>
      </c>
      <c r="L78" s="44"/>
      <c r="M78" s="45">
        <f>M73/M74</f>
        <v>2.3034032518611665</v>
      </c>
    </row>
    <row r="79" spans="2:15" x14ac:dyDescent="0.3">
      <c r="G79" s="1" t="s">
        <v>69</v>
      </c>
      <c r="H79" s="1"/>
      <c r="I79" s="29">
        <f>I75-I78</f>
        <v>949.0021397668005</v>
      </c>
      <c r="O79" t="s">
        <v>74</v>
      </c>
    </row>
    <row r="80" spans="2:15" x14ac:dyDescent="0.3">
      <c r="O80" t="s">
        <v>74</v>
      </c>
    </row>
    <row r="81" spans="2:15" x14ac:dyDescent="0.3">
      <c r="O81" t="s">
        <v>74</v>
      </c>
    </row>
    <row r="82" spans="2:15" x14ac:dyDescent="0.3">
      <c r="I82" s="27"/>
      <c r="O82" t="s">
        <v>74</v>
      </c>
    </row>
    <row r="83" spans="2:15" x14ac:dyDescent="0.3">
      <c r="O83" t="s">
        <v>74</v>
      </c>
    </row>
    <row r="84" spans="2:15" x14ac:dyDescent="0.3">
      <c r="O84" t="s">
        <v>74</v>
      </c>
    </row>
    <row r="85" spans="2:15" x14ac:dyDescent="0.3">
      <c r="O85" t="s">
        <v>74</v>
      </c>
    </row>
    <row r="86" spans="2:15" x14ac:dyDescent="0.3">
      <c r="O86" t="s">
        <v>74</v>
      </c>
    </row>
    <row r="87" spans="2:15" x14ac:dyDescent="0.3">
      <c r="B87" s="4"/>
      <c r="C87" s="4"/>
      <c r="D87" s="4"/>
      <c r="E87" s="4"/>
      <c r="F87" s="4"/>
      <c r="G87" s="4"/>
      <c r="H87" s="4"/>
      <c r="I87" s="4"/>
      <c r="J87" s="4"/>
      <c r="K87" s="4"/>
      <c r="L87" s="4"/>
      <c r="M87" s="4"/>
      <c r="N87" s="4"/>
      <c r="O87" t="s">
        <v>74</v>
      </c>
    </row>
    <row r="88" spans="2:15" x14ac:dyDescent="0.3">
      <c r="O88" t="s">
        <v>74</v>
      </c>
    </row>
    <row r="89" spans="2:15" x14ac:dyDescent="0.3">
      <c r="O89" t="s">
        <v>74</v>
      </c>
    </row>
    <row r="90" spans="2:15" x14ac:dyDescent="0.3">
      <c r="O90" t="s">
        <v>74</v>
      </c>
    </row>
    <row r="91" spans="2:15" x14ac:dyDescent="0.3">
      <c r="O91" t="s">
        <v>74</v>
      </c>
    </row>
    <row r="92" spans="2:15" x14ac:dyDescent="0.3">
      <c r="O92" t="s">
        <v>74</v>
      </c>
    </row>
    <row r="93" spans="2:15" x14ac:dyDescent="0.3">
      <c r="O93" t="s">
        <v>74</v>
      </c>
    </row>
    <row r="94" spans="2:15" x14ac:dyDescent="0.3">
      <c r="O94" t="s">
        <v>74</v>
      </c>
    </row>
    <row r="95" spans="2:15" x14ac:dyDescent="0.3">
      <c r="O95" t="s">
        <v>74</v>
      </c>
    </row>
    <row r="96" spans="2:15" x14ac:dyDescent="0.3">
      <c r="O96" t="s">
        <v>74</v>
      </c>
    </row>
    <row r="97" spans="15:15" x14ac:dyDescent="0.3">
      <c r="O97" t="s">
        <v>74</v>
      </c>
    </row>
    <row r="98" spans="15:15" x14ac:dyDescent="0.3">
      <c r="O98" t="s">
        <v>74</v>
      </c>
    </row>
    <row r="99" spans="15:15" x14ac:dyDescent="0.3">
      <c r="O99" t="s">
        <v>74</v>
      </c>
    </row>
    <row r="100" spans="15:15" x14ac:dyDescent="0.3">
      <c r="O100" t="s">
        <v>74</v>
      </c>
    </row>
    <row r="101" spans="15:15" x14ac:dyDescent="0.3">
      <c r="O101" t="s">
        <v>74</v>
      </c>
    </row>
    <row r="102" spans="15:15" x14ac:dyDescent="0.3">
      <c r="O102" t="s">
        <v>74</v>
      </c>
    </row>
    <row r="103" spans="15:15" x14ac:dyDescent="0.3">
      <c r="O103" t="s">
        <v>74</v>
      </c>
    </row>
    <row r="104" spans="15:15" x14ac:dyDescent="0.3">
      <c r="O104" t="s">
        <v>74</v>
      </c>
    </row>
    <row r="105" spans="15:15" x14ac:dyDescent="0.3">
      <c r="O105" t="s">
        <v>74</v>
      </c>
    </row>
    <row r="106" spans="15:15" x14ac:dyDescent="0.3">
      <c r="O106" t="s">
        <v>74</v>
      </c>
    </row>
    <row r="107" spans="15:15" x14ac:dyDescent="0.3">
      <c r="O107" t="s">
        <v>74</v>
      </c>
    </row>
    <row r="108" spans="15:15" x14ac:dyDescent="0.3">
      <c r="O108" t="s">
        <v>74</v>
      </c>
    </row>
    <row r="109" spans="15:15" x14ac:dyDescent="0.3">
      <c r="O109" t="s">
        <v>74</v>
      </c>
    </row>
    <row r="110" spans="15:15" x14ac:dyDescent="0.3">
      <c r="O110" t="s">
        <v>74</v>
      </c>
    </row>
    <row r="111" spans="15:15" x14ac:dyDescent="0.3">
      <c r="O111" t="s">
        <v>74</v>
      </c>
    </row>
    <row r="112" spans="15:15" x14ac:dyDescent="0.3">
      <c r="O112" t="s">
        <v>74</v>
      </c>
    </row>
    <row r="113" spans="15:15" x14ac:dyDescent="0.3">
      <c r="O113" t="s">
        <v>74</v>
      </c>
    </row>
    <row r="114" spans="15:15" x14ac:dyDescent="0.3">
      <c r="O114" t="s">
        <v>74</v>
      </c>
    </row>
    <row r="115" spans="15:15" x14ac:dyDescent="0.3">
      <c r="O115" t="s">
        <v>74</v>
      </c>
    </row>
    <row r="116" spans="15:15" x14ac:dyDescent="0.3">
      <c r="O116" t="s">
        <v>74</v>
      </c>
    </row>
    <row r="117" spans="15:15" x14ac:dyDescent="0.3">
      <c r="O117" t="s">
        <v>74</v>
      </c>
    </row>
    <row r="118" spans="15:15" x14ac:dyDescent="0.3">
      <c r="O118" t="s">
        <v>74</v>
      </c>
    </row>
    <row r="119" spans="15:15" x14ac:dyDescent="0.3">
      <c r="O119" t="s">
        <v>74</v>
      </c>
    </row>
    <row r="120" spans="15:15" x14ac:dyDescent="0.3">
      <c r="O120" t="s">
        <v>74</v>
      </c>
    </row>
    <row r="121" spans="15:15" x14ac:dyDescent="0.3">
      <c r="O121" t="s">
        <v>74</v>
      </c>
    </row>
    <row r="122" spans="15:15" x14ac:dyDescent="0.3">
      <c r="O122" t="s">
        <v>74</v>
      </c>
    </row>
    <row r="123" spans="15:15" x14ac:dyDescent="0.3">
      <c r="O123" t="s">
        <v>74</v>
      </c>
    </row>
    <row r="124" spans="15:15" x14ac:dyDescent="0.3">
      <c r="O124" t="s">
        <v>74</v>
      </c>
    </row>
    <row r="125" spans="15:15" x14ac:dyDescent="0.3">
      <c r="O125" t="s">
        <v>74</v>
      </c>
    </row>
    <row r="126" spans="15:15" x14ac:dyDescent="0.3">
      <c r="O126" t="s">
        <v>74</v>
      </c>
    </row>
    <row r="127" spans="15:15" x14ac:dyDescent="0.3">
      <c r="O127" t="s">
        <v>74</v>
      </c>
    </row>
    <row r="128" spans="15:15" x14ac:dyDescent="0.3">
      <c r="O128" t="s">
        <v>74</v>
      </c>
    </row>
    <row r="129" spans="15:15" x14ac:dyDescent="0.3">
      <c r="O129" t="s">
        <v>74</v>
      </c>
    </row>
    <row r="130" spans="15:15" x14ac:dyDescent="0.3">
      <c r="O130" t="s">
        <v>74</v>
      </c>
    </row>
    <row r="131" spans="15:15" x14ac:dyDescent="0.3">
      <c r="O131" t="s">
        <v>74</v>
      </c>
    </row>
    <row r="132" spans="15:15" x14ac:dyDescent="0.3">
      <c r="O132" t="s">
        <v>74</v>
      </c>
    </row>
    <row r="133" spans="15:15" x14ac:dyDescent="0.3">
      <c r="O133" t="s">
        <v>74</v>
      </c>
    </row>
    <row r="134" spans="15:15" x14ac:dyDescent="0.3">
      <c r="O134" t="s">
        <v>74</v>
      </c>
    </row>
    <row r="135" spans="15:15" x14ac:dyDescent="0.3">
      <c r="O135" t="s">
        <v>74</v>
      </c>
    </row>
    <row r="136" spans="15:15" x14ac:dyDescent="0.3">
      <c r="O136" t="s">
        <v>74</v>
      </c>
    </row>
    <row r="137" spans="15:15" x14ac:dyDescent="0.3">
      <c r="O137" t="s">
        <v>74</v>
      </c>
    </row>
    <row r="138" spans="15:15" x14ac:dyDescent="0.3">
      <c r="O138" t="s">
        <v>74</v>
      </c>
    </row>
    <row r="139" spans="15:15" x14ac:dyDescent="0.3">
      <c r="O139" t="s">
        <v>74</v>
      </c>
    </row>
    <row r="140" spans="15:15" x14ac:dyDescent="0.3">
      <c r="O140" t="s">
        <v>74</v>
      </c>
    </row>
    <row r="141" spans="15:15" x14ac:dyDescent="0.3">
      <c r="O141" t="s">
        <v>74</v>
      </c>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EV and Equity Value</vt:lpstr>
      <vt:lpstr>2. Basic LBO and Returns</vt:lpstr>
      <vt:lpstr>3. Accounting &amp; Projecting</vt:lpstr>
      <vt:lpstr>4. Lemon Grove LBO Case Study</vt:lpstr>
      <vt:lpstr>4.1 Lemon Grove Case Study Ans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Tejjas Kumar</dc:creator>
  <cp:lastModifiedBy>Kumar4,T (ug)</cp:lastModifiedBy>
  <dcterms:created xsi:type="dcterms:W3CDTF">2015-06-05T18:19:34Z</dcterms:created>
  <dcterms:modified xsi:type="dcterms:W3CDTF">2025-11-26T11:31:12Z</dcterms:modified>
</cp:coreProperties>
</file>