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secloud-my.sharepoint.com/personal/h_yu30_lse_ac_uk/Documents/PES 25-26/PES Research 25-26/Pipeline Reports/Thoma Bravo - Dayforce/"/>
    </mc:Choice>
  </mc:AlternateContent>
  <xr:revisionPtr revIDLastSave="2974" documentId="14_{B25C2FEB-1D20-4029-B5CE-CD0A76676125}" xr6:coauthVersionLast="47" xr6:coauthVersionMax="47" xr10:uidLastSave="{E4C894FF-EB6F-4844-9291-C2622616F153}"/>
  <bookViews>
    <workbookView xWindow="4464" yWindow="3720" windowWidth="17280" windowHeight="9960" xr2:uid="{00000000-000D-0000-FFFF-FFFF00000000}"/>
  </bookViews>
  <sheets>
    <sheet name="Cover" sheetId="14" r:id="rId1"/>
    <sheet name="Outputs" sheetId="13" r:id="rId2"/>
    <sheet name="Transaction Details" sheetId="1" r:id="rId3"/>
    <sheet name="Inputs and Drivers" sheetId="3" r:id="rId4"/>
    <sheet name="Model" sheetId="2" r:id="rId5"/>
    <sheet name="Balance Sheet (Q)" sheetId="10" r:id="rId6"/>
    <sheet name="Additional Data" sheetId="4" r:id="rId7"/>
    <sheet name="CapIQ Financial Highlights" sheetId="8" r:id="rId8"/>
    <sheet name="Cash Flow" sheetId="9" r:id="rId9"/>
    <sheet name="Balance Sheet" sheetId="11" r:id="rId10"/>
    <sheet name="Income Statement" sheetId="12" r:id="rId1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2" l="1"/>
  <c r="L107" i="2"/>
  <c r="L220" i="2"/>
  <c r="O220" i="2"/>
  <c r="N220" i="2"/>
  <c r="M220" i="2"/>
  <c r="T220" i="2"/>
  <c r="K171" i="2"/>
  <c r="J50" i="13"/>
  <c r="K50" i="13"/>
  <c r="L50" i="13"/>
  <c r="M50" i="13"/>
  <c r="N50" i="13"/>
  <c r="O50" i="13"/>
  <c r="P50" i="13"/>
  <c r="J20" i="2" a="1"/>
  <c r="J20" i="2" s="1"/>
  <c r="I20" i="2" a="1"/>
  <c r="I20" i="2" s="1"/>
  <c r="H23" i="2"/>
  <c r="H20" i="2" s="1" a="1"/>
  <c r="H20" i="2" s="1"/>
  <c r="I23" i="2"/>
  <c r="J23" i="2"/>
  <c r="J48" i="13"/>
  <c r="J47" i="13"/>
  <c r="J43" i="13"/>
  <c r="J36" i="13"/>
  <c r="J35" i="13"/>
  <c r="J34" i="13"/>
  <c r="D106" i="13"/>
  <c r="D107" i="13" s="1"/>
  <c r="D104" i="13"/>
  <c r="D103" i="13" s="1"/>
  <c r="K12" i="2"/>
  <c r="P49" i="13"/>
  <c r="O49" i="13"/>
  <c r="N49" i="13"/>
  <c r="M49" i="13"/>
  <c r="L49" i="13"/>
  <c r="K49" i="13"/>
  <c r="J49" i="13"/>
  <c r="P48" i="13"/>
  <c r="O48" i="13"/>
  <c r="N48" i="13"/>
  <c r="M48" i="13"/>
  <c r="L48" i="13"/>
  <c r="K48" i="13"/>
  <c r="P47" i="13"/>
  <c r="O47" i="13"/>
  <c r="N47" i="13"/>
  <c r="M47" i="13"/>
  <c r="L47" i="13"/>
  <c r="K47" i="13"/>
  <c r="P43" i="13"/>
  <c r="O43" i="13"/>
  <c r="N43" i="13"/>
  <c r="M43" i="13"/>
  <c r="L43" i="13"/>
  <c r="K43" i="13"/>
  <c r="K41" i="13"/>
  <c r="P38" i="13"/>
  <c r="O38" i="13"/>
  <c r="N38" i="13"/>
  <c r="M38" i="13"/>
  <c r="L38" i="13"/>
  <c r="P36" i="13"/>
  <c r="O36" i="13"/>
  <c r="N36" i="13"/>
  <c r="M36" i="13"/>
  <c r="L36" i="13"/>
  <c r="K36" i="13"/>
  <c r="P34" i="13"/>
  <c r="O34" i="13"/>
  <c r="N34" i="13"/>
  <c r="M34" i="13"/>
  <c r="L34" i="13"/>
  <c r="K34" i="13"/>
  <c r="P35" i="13"/>
  <c r="O35" i="13"/>
  <c r="N35" i="13"/>
  <c r="M35" i="13"/>
  <c r="L35" i="13"/>
  <c r="K35" i="13"/>
  <c r="K33" i="13"/>
  <c r="L33" i="13" s="1"/>
  <c r="M33" i="13" s="1"/>
  <c r="N33" i="13" s="1"/>
  <c r="O33" i="13" s="1"/>
  <c r="P33" i="13" s="1"/>
  <c r="S7" i="13"/>
  <c r="N11" i="13"/>
  <c r="N8" i="13"/>
  <c r="N7" i="13"/>
  <c r="M11" i="13"/>
  <c r="M8" i="13"/>
  <c r="M7" i="13"/>
  <c r="E20" i="13"/>
  <c r="E19" i="13"/>
  <c r="E18" i="13"/>
  <c r="E17" i="13"/>
  <c r="E14" i="13"/>
  <c r="E12" i="13"/>
  <c r="E9" i="13"/>
  <c r="E8" i="13"/>
  <c r="R297" i="2" s="1"/>
  <c r="O96" i="3"/>
  <c r="P96" i="3"/>
  <c r="Q96" i="3" s="1"/>
  <c r="R48" i="2"/>
  <c r="M313" i="2"/>
  <c r="L313" i="2"/>
  <c r="T273" i="2"/>
  <c r="L273" i="2" s="1"/>
  <c r="R206" i="2"/>
  <c r="Q206" i="2"/>
  <c r="P206" i="2"/>
  <c r="O206" i="2"/>
  <c r="N206" i="2"/>
  <c r="M206" i="2"/>
  <c r="S202" i="2"/>
  <c r="S186" i="2"/>
  <c r="S206" i="2"/>
  <c r="S263" i="2"/>
  <c r="S257" i="2"/>
  <c r="S256" i="2"/>
  <c r="M255" i="2"/>
  <c r="N255" i="2"/>
  <c r="O255" i="2"/>
  <c r="P255" i="2"/>
  <c r="Q255" i="2"/>
  <c r="R255" i="2"/>
  <c r="S251" i="2"/>
  <c r="J44" i="13" l="1"/>
  <c r="L39" i="13"/>
  <c r="K44" i="13"/>
  <c r="P297" i="2"/>
  <c r="O297" i="2"/>
  <c r="M44" i="13"/>
  <c r="L297" i="2"/>
  <c r="M297" i="2"/>
  <c r="K40" i="13"/>
  <c r="N297" i="2"/>
  <c r="Q297" i="2"/>
  <c r="N41" i="13"/>
  <c r="O41" i="13"/>
  <c r="P41" i="13"/>
  <c r="J40" i="13"/>
  <c r="L41" i="13"/>
  <c r="M40" i="13"/>
  <c r="L40" i="13"/>
  <c r="M39" i="13"/>
  <c r="P44" i="13"/>
  <c r="O40" i="13"/>
  <c r="M41" i="13"/>
  <c r="N40" i="13"/>
  <c r="P39" i="13"/>
  <c r="O39" i="13"/>
  <c r="P40" i="13"/>
  <c r="L44" i="13"/>
  <c r="J41" i="13"/>
  <c r="N44" i="13"/>
  <c r="O44" i="13"/>
  <c r="N39" i="13"/>
  <c r="S250" i="2"/>
  <c r="M249" i="2" l="1"/>
  <c r="N249" i="2"/>
  <c r="O249" i="2"/>
  <c r="P249" i="2"/>
  <c r="Q249" i="2"/>
  <c r="R249" i="2"/>
  <c r="S249" i="2"/>
  <c r="S252" i="2" s="1"/>
  <c r="C221" i="2"/>
  <c r="T112" i="2" l="1"/>
  <c r="L112" i="2" s="1"/>
  <c r="T191" i="2"/>
  <c r="L191" i="2" s="1"/>
  <c r="T219" i="2"/>
  <c r="M215" i="2"/>
  <c r="N215" i="2"/>
  <c r="O215" i="2"/>
  <c r="P215" i="2"/>
  <c r="Q215" i="2"/>
  <c r="R215" i="2"/>
  <c r="S215" i="2"/>
  <c r="T215" i="2"/>
  <c r="L215" i="2"/>
  <c r="M205" i="2"/>
  <c r="T205" i="2" s="1"/>
  <c r="N205" i="2"/>
  <c r="O205" i="2"/>
  <c r="P205" i="2"/>
  <c r="Q205" i="2"/>
  <c r="R205" i="2"/>
  <c r="L205" i="2"/>
  <c r="L219" i="2" l="1"/>
  <c r="S205" i="2"/>
  <c r="L233" i="2" l="1"/>
  <c r="M233" i="2" s="1"/>
  <c r="N233" i="2" s="1"/>
  <c r="O233" i="2" s="1"/>
  <c r="P233" i="2" s="1"/>
  <c r="Q233" i="2" s="1"/>
  <c r="R233" i="2" s="1"/>
  <c r="T187" i="2" l="1"/>
  <c r="M187" i="2"/>
  <c r="N187" i="2"/>
  <c r="O187" i="2"/>
  <c r="P187" i="2"/>
  <c r="Q187" i="2"/>
  <c r="R187" i="2"/>
  <c r="S187" i="2"/>
  <c r="L187" i="2"/>
  <c r="T201" i="2" l="1"/>
  <c r="L201" i="2" s="1"/>
  <c r="T107" i="2"/>
  <c r="K117" i="2"/>
  <c r="K235" i="2" s="1"/>
  <c r="C115" i="3"/>
  <c r="C112" i="3"/>
  <c r="R112" i="3" s="1"/>
  <c r="J82" i="2"/>
  <c r="I82" i="2"/>
  <c r="H82" i="2"/>
  <c r="J78" i="2"/>
  <c r="I78" i="2"/>
  <c r="H78" i="2"/>
  <c r="J61" i="2"/>
  <c r="J141" i="2" s="1"/>
  <c r="I61" i="2"/>
  <c r="I141" i="2" s="1"/>
  <c r="H61" i="2"/>
  <c r="H141" i="2" s="1"/>
  <c r="H147" i="2" s="1"/>
  <c r="G61" i="2"/>
  <c r="J73" i="3"/>
  <c r="I73" i="3"/>
  <c r="H73" i="3"/>
  <c r="J68" i="3"/>
  <c r="I68" i="3"/>
  <c r="H68" i="3"/>
  <c r="J63" i="3"/>
  <c r="I63" i="3"/>
  <c r="H63" i="3"/>
  <c r="K65" i="3" s="1"/>
  <c r="G63" i="3"/>
  <c r="J53" i="3"/>
  <c r="I53" i="3"/>
  <c r="H53" i="3"/>
  <c r="G53" i="3"/>
  <c r="K75" i="3" l="1"/>
  <c r="R197" i="2"/>
  <c r="R115" i="3"/>
  <c r="R226" i="2" s="1"/>
  <c r="Q112" i="3"/>
  <c r="L112" i="3"/>
  <c r="M112" i="3"/>
  <c r="N112" i="3"/>
  <c r="O112" i="3"/>
  <c r="P112" i="3"/>
  <c r="K70" i="3"/>
  <c r="I144" i="2"/>
  <c r="I147" i="2"/>
  <c r="J144" i="2"/>
  <c r="J147" i="2"/>
  <c r="H144" i="2"/>
  <c r="L174" i="2"/>
  <c r="T174" i="2" s="1"/>
  <c r="H171" i="2"/>
  <c r="K170" i="2"/>
  <c r="P197" i="2" l="1"/>
  <c r="P115" i="3"/>
  <c r="P226" i="2" s="1"/>
  <c r="N197" i="2"/>
  <c r="N115" i="3"/>
  <c r="N226" i="2" s="1"/>
  <c r="M197" i="2"/>
  <c r="M115" i="3"/>
  <c r="M226" i="2" s="1"/>
  <c r="L197" i="2"/>
  <c r="L115" i="3"/>
  <c r="L226" i="2" s="1"/>
  <c r="Q197" i="2"/>
  <c r="Q115" i="3"/>
  <c r="Q226" i="2" s="1"/>
  <c r="O197" i="2"/>
  <c r="O115" i="3"/>
  <c r="O226" i="2" s="1"/>
  <c r="H170" i="2"/>
  <c r="H172" i="2" s="1"/>
  <c r="H173" i="2" s="1"/>
  <c r="K249" i="2" s="1"/>
  <c r="K252" i="2" s="1"/>
  <c r="S174" i="2"/>
  <c r="T226" i="2" l="1"/>
  <c r="S226" i="2"/>
  <c r="T197" i="2"/>
  <c r="S197" i="2"/>
  <c r="K172" i="2"/>
  <c r="K255" i="2" s="1"/>
  <c r="K258" i="2" s="1"/>
  <c r="K106" i="2"/>
  <c r="K114" i="2" s="1"/>
  <c r="N312" i="2"/>
  <c r="B314" i="2"/>
  <c r="K293" i="2"/>
  <c r="J159" i="2"/>
  <c r="I159" i="2"/>
  <c r="H159" i="2"/>
  <c r="C81" i="2"/>
  <c r="B315" i="2" l="1"/>
  <c r="M314" i="2"/>
  <c r="L314" i="2"/>
  <c r="N314" i="2"/>
  <c r="O312" i="2"/>
  <c r="N313" i="2"/>
  <c r="S170" i="2"/>
  <c r="C17" i="1" s="1"/>
  <c r="L170" i="2"/>
  <c r="B316" i="2"/>
  <c r="L316" i="2" l="1"/>
  <c r="N316" i="2"/>
  <c r="M316" i="2"/>
  <c r="P312" i="2"/>
  <c r="O313" i="2"/>
  <c r="O314" i="2"/>
  <c r="N315" i="2"/>
  <c r="O315" i="2"/>
  <c r="M315" i="2"/>
  <c r="L315" i="2"/>
  <c r="B317" i="2"/>
  <c r="Q312" i="2" l="1"/>
  <c r="P313" i="2"/>
  <c r="P314" i="2"/>
  <c r="M317" i="2"/>
  <c r="L317" i="2"/>
  <c r="S172" i="2"/>
  <c r="B318" i="2"/>
  <c r="L318" i="2" s="1"/>
  <c r="R312" i="2" l="1"/>
  <c r="Q313" i="2"/>
  <c r="T170" i="2"/>
  <c r="T171" i="2" s="1"/>
  <c r="L171" i="2" s="1"/>
  <c r="S255" i="2"/>
  <c r="S258" i="2" s="1"/>
  <c r="S114" i="2"/>
  <c r="J160" i="2"/>
  <c r="J161" i="2" s="1"/>
  <c r="I160" i="2"/>
  <c r="I161" i="2" s="1"/>
  <c r="H160" i="2"/>
  <c r="Q146" i="2"/>
  <c r="O146" i="2"/>
  <c r="N146" i="2"/>
  <c r="R143" i="2"/>
  <c r="P87" i="3"/>
  <c r="Q87" i="3" s="1"/>
  <c r="R87" i="3" s="1"/>
  <c r="R146" i="2" s="1"/>
  <c r="O87" i="3"/>
  <c r="J140" i="2"/>
  <c r="I140" i="2"/>
  <c r="H140" i="2"/>
  <c r="H138" i="2"/>
  <c r="N127" i="2"/>
  <c r="R127" i="2"/>
  <c r="N128" i="2"/>
  <c r="R128" i="2"/>
  <c r="S6" i="2"/>
  <c r="R22" i="1"/>
  <c r="H5" i="2"/>
  <c r="I5" i="2" s="1"/>
  <c r="J5" i="2" s="1"/>
  <c r="K5" i="2" s="1"/>
  <c r="L5" i="2" s="1"/>
  <c r="M5" i="2" s="1"/>
  <c r="N5" i="2" s="1"/>
  <c r="O5" i="2" s="1"/>
  <c r="P5" i="2" s="1"/>
  <c r="Q5" i="2" s="1"/>
  <c r="R5" i="2" s="1"/>
  <c r="H4" i="2"/>
  <c r="I4" i="2" s="1"/>
  <c r="J4" i="2" s="1"/>
  <c r="K4" i="2" s="1"/>
  <c r="S82" i="2" l="1"/>
  <c r="S198" i="2"/>
  <c r="S262" i="2" s="1"/>
  <c r="I138" i="2"/>
  <c r="J138" i="2" s="1"/>
  <c r="K138" i="2" s="1"/>
  <c r="L138" i="2" s="1"/>
  <c r="M138" i="2" s="1"/>
  <c r="N138" i="2" s="1"/>
  <c r="O138" i="2" s="1"/>
  <c r="P138" i="2" s="1"/>
  <c r="Q138" i="2" s="1"/>
  <c r="R138" i="2" s="1"/>
  <c r="H146" i="2"/>
  <c r="T6" i="2"/>
  <c r="S176" i="2"/>
  <c r="S261" i="2" s="1"/>
  <c r="P146" i="2"/>
  <c r="J163" i="2"/>
  <c r="H161" i="2"/>
  <c r="I163" i="2" s="1"/>
  <c r="H143" i="2"/>
  <c r="H84" i="3" s="1"/>
  <c r="H6" i="2"/>
  <c r="K6" i="2"/>
  <c r="K176" i="2" s="1"/>
  <c r="K261" i="2" s="1"/>
  <c r="I6" i="2"/>
  <c r="J6" i="2"/>
  <c r="L4" i="2"/>
  <c r="L293" i="2" s="1"/>
  <c r="J143" i="2" l="1"/>
  <c r="J84" i="3" s="1"/>
  <c r="I143" i="2"/>
  <c r="I84" i="3" s="1"/>
  <c r="T82" i="2"/>
  <c r="M4" i="2"/>
  <c r="M293" i="2" s="1"/>
  <c r="L6" i="2"/>
  <c r="L212" i="2"/>
  <c r="M212" i="2" s="1"/>
  <c r="N212" i="2" s="1"/>
  <c r="O212" i="2" s="1"/>
  <c r="P212" i="2" s="1"/>
  <c r="Q212" i="2" s="1"/>
  <c r="R212" i="2" s="1"/>
  <c r="T186" i="2" l="1"/>
  <c r="K84" i="3"/>
  <c r="K143" i="2" s="1"/>
  <c r="N4" i="2"/>
  <c r="M6" i="2"/>
  <c r="M290" i="2"/>
  <c r="N290" i="2" s="1"/>
  <c r="O290" i="2" s="1"/>
  <c r="P290" i="2" s="1"/>
  <c r="Q290" i="2" s="1"/>
  <c r="R290" i="2" s="1"/>
  <c r="L270" i="2"/>
  <c r="M270" i="2" s="1"/>
  <c r="N270" i="2" s="1"/>
  <c r="O270" i="2" s="1"/>
  <c r="P270" i="2" s="1"/>
  <c r="Q270" i="2" s="1"/>
  <c r="R270" i="2" s="1"/>
  <c r="L246" i="2"/>
  <c r="M246" i="2" s="1"/>
  <c r="N246" i="2" s="1"/>
  <c r="O246" i="2" s="1"/>
  <c r="P246" i="2" s="1"/>
  <c r="Q246" i="2" s="1"/>
  <c r="R246" i="2" s="1"/>
  <c r="L180" i="2"/>
  <c r="M180" i="2" s="1"/>
  <c r="N180" i="2" s="1"/>
  <c r="O180" i="2" s="1"/>
  <c r="P180" i="2" s="1"/>
  <c r="Q180" i="2" s="1"/>
  <c r="R180" i="2" s="1"/>
  <c r="L167" i="2"/>
  <c r="M167" i="2" s="1"/>
  <c r="N167" i="2" s="1"/>
  <c r="O167" i="2" s="1"/>
  <c r="P167" i="2" s="1"/>
  <c r="Q167" i="2" s="1"/>
  <c r="R167" i="2" s="1"/>
  <c r="L136" i="2"/>
  <c r="M136" i="2" s="1"/>
  <c r="N136" i="2" s="1"/>
  <c r="O136" i="2" s="1"/>
  <c r="P136" i="2" s="1"/>
  <c r="Q136" i="2" s="1"/>
  <c r="R136" i="2" s="1"/>
  <c r="R91" i="3"/>
  <c r="N91" i="3"/>
  <c r="R94" i="3"/>
  <c r="N94" i="3"/>
  <c r="K94" i="3"/>
  <c r="R92" i="3"/>
  <c r="N92" i="3"/>
  <c r="K92" i="3"/>
  <c r="O93" i="3"/>
  <c r="O91" i="3" s="1"/>
  <c r="L93" i="3"/>
  <c r="L94" i="3" s="1"/>
  <c r="K91" i="3"/>
  <c r="O103" i="3"/>
  <c r="O128" i="2" s="1"/>
  <c r="O102" i="3"/>
  <c r="O127" i="2" s="1"/>
  <c r="L100" i="3"/>
  <c r="M100" i="3" s="1"/>
  <c r="N100" i="3" s="1"/>
  <c r="O100" i="3" s="1"/>
  <c r="P100" i="3" s="1"/>
  <c r="Q100" i="3" s="1"/>
  <c r="R100" i="3" s="1"/>
  <c r="J132" i="2"/>
  <c r="I132" i="2"/>
  <c r="H132" i="2"/>
  <c r="J96" i="3"/>
  <c r="I96" i="3"/>
  <c r="H96" i="3"/>
  <c r="G96" i="3"/>
  <c r="G12" i="1"/>
  <c r="L107" i="3"/>
  <c r="M107" i="3" s="1"/>
  <c r="N107" i="3" s="1"/>
  <c r="O107" i="3" s="1"/>
  <c r="P107" i="3" s="1"/>
  <c r="Q107" i="3" s="1"/>
  <c r="R107" i="3" s="1"/>
  <c r="L123" i="2"/>
  <c r="M123" i="2" s="1"/>
  <c r="N123" i="2" s="1"/>
  <c r="O123" i="2" s="1"/>
  <c r="P123" i="2" s="1"/>
  <c r="Q123" i="2" s="1"/>
  <c r="R123" i="2" s="1"/>
  <c r="N6" i="2" l="1"/>
  <c r="N186" i="2" s="1"/>
  <c r="N293" i="2"/>
  <c r="M186" i="2"/>
  <c r="M176" i="2"/>
  <c r="M261" i="2" s="1"/>
  <c r="L84" i="3"/>
  <c r="M84" i="3" s="1"/>
  <c r="N84" i="3" s="1"/>
  <c r="O84" i="3" s="1"/>
  <c r="I146" i="2"/>
  <c r="I87" i="3" s="1"/>
  <c r="J146" i="2"/>
  <c r="J87" i="3" s="1"/>
  <c r="J85" i="3"/>
  <c r="H87" i="3"/>
  <c r="H85" i="3"/>
  <c r="H88" i="3"/>
  <c r="I85" i="3"/>
  <c r="I88" i="3"/>
  <c r="J88" i="3"/>
  <c r="P102" i="3"/>
  <c r="P127" i="2" s="1"/>
  <c r="L92" i="3"/>
  <c r="L91" i="3"/>
  <c r="O92" i="3"/>
  <c r="P93" i="3"/>
  <c r="P103" i="3"/>
  <c r="O94" i="3"/>
  <c r="M93" i="3"/>
  <c r="O4" i="2"/>
  <c r="K96" i="3"/>
  <c r="L96" i="3" s="1"/>
  <c r="M96" i="3" s="1"/>
  <c r="H12" i="1"/>
  <c r="J30" i="2"/>
  <c r="I30" i="2"/>
  <c r="O9" i="1"/>
  <c r="S8" i="13" s="1"/>
  <c r="H24" i="1"/>
  <c r="N176" i="2" l="1"/>
  <c r="N261" i="2" s="1"/>
  <c r="O6" i="2"/>
  <c r="O186" i="2" s="1"/>
  <c r="O293" i="2"/>
  <c r="O176" i="2"/>
  <c r="O261" i="2" s="1"/>
  <c r="N143" i="2"/>
  <c r="M143" i="2"/>
  <c r="L143" i="2"/>
  <c r="T143" i="2" s="1"/>
  <c r="K87" i="3"/>
  <c r="L87" i="3" s="1"/>
  <c r="K88" i="3"/>
  <c r="L88" i="3" s="1"/>
  <c r="K85" i="3"/>
  <c r="P84" i="3"/>
  <c r="O143" i="2"/>
  <c r="Q102" i="3"/>
  <c r="Q127" i="2" s="1"/>
  <c r="Q103" i="3"/>
  <c r="Q128" i="2" s="1"/>
  <c r="P128" i="2"/>
  <c r="Q93" i="3"/>
  <c r="P92" i="3"/>
  <c r="P91" i="3"/>
  <c r="P94" i="3"/>
  <c r="M94" i="3"/>
  <c r="M92" i="3"/>
  <c r="M91" i="3"/>
  <c r="P4" i="2"/>
  <c r="R78" i="3"/>
  <c r="N73" i="3"/>
  <c r="R73" i="3"/>
  <c r="R68" i="3"/>
  <c r="N63" i="3"/>
  <c r="R63" i="3"/>
  <c r="R58" i="3"/>
  <c r="N53" i="3"/>
  <c r="R53" i="3"/>
  <c r="R81" i="3"/>
  <c r="R79" i="3"/>
  <c r="N76" i="3"/>
  <c r="R76" i="3"/>
  <c r="N74" i="3"/>
  <c r="R74" i="3"/>
  <c r="O75" i="3"/>
  <c r="R71" i="3"/>
  <c r="R69" i="3"/>
  <c r="N66" i="3"/>
  <c r="R66" i="3"/>
  <c r="N64" i="3"/>
  <c r="R64" i="3"/>
  <c r="O65" i="3"/>
  <c r="O64" i="3" s="1"/>
  <c r="R61" i="3"/>
  <c r="R59" i="3"/>
  <c r="N56" i="3"/>
  <c r="R56" i="3"/>
  <c r="N54" i="3"/>
  <c r="R54" i="3"/>
  <c r="O55" i="3"/>
  <c r="P55" i="3" s="1"/>
  <c r="J13" i="2"/>
  <c r="G35" i="3"/>
  <c r="J45" i="2"/>
  <c r="J35" i="3" s="1"/>
  <c r="I34" i="3"/>
  <c r="J34" i="3"/>
  <c r="G28" i="3"/>
  <c r="H28" i="3"/>
  <c r="I28" i="3"/>
  <c r="J28" i="3"/>
  <c r="G20" i="3"/>
  <c r="H20" i="3"/>
  <c r="I20" i="3"/>
  <c r="J20" i="3"/>
  <c r="H11" i="3"/>
  <c r="G11" i="3"/>
  <c r="G10" i="3"/>
  <c r="L44" i="3"/>
  <c r="L45" i="3" s="1"/>
  <c r="R45" i="3"/>
  <c r="K45" i="3"/>
  <c r="K43" i="3"/>
  <c r="R43" i="3" s="1"/>
  <c r="R40" i="3"/>
  <c r="R38" i="3"/>
  <c r="K26" i="3"/>
  <c r="R26" i="3"/>
  <c r="K24" i="3"/>
  <c r="R24" i="3"/>
  <c r="L25" i="3"/>
  <c r="L24" i="3" s="1"/>
  <c r="R18" i="3"/>
  <c r="R16" i="3"/>
  <c r="I57" i="2"/>
  <c r="I48" i="2" s="1"/>
  <c r="I49" i="3" s="1"/>
  <c r="J57" i="2"/>
  <c r="J48" i="2" s="1"/>
  <c r="J49" i="3" s="1"/>
  <c r="K49" i="3" s="1"/>
  <c r="I58" i="2"/>
  <c r="J58" i="2"/>
  <c r="I59" i="2"/>
  <c r="I58" i="3" s="1"/>
  <c r="J59" i="2"/>
  <c r="K42" i="3"/>
  <c r="K44" i="2" s="1"/>
  <c r="K239" i="2" s="1"/>
  <c r="R42" i="3"/>
  <c r="R44" i="2" s="1"/>
  <c r="R239" i="2" s="1"/>
  <c r="R37" i="3"/>
  <c r="R43" i="2" s="1"/>
  <c r="K55" i="3"/>
  <c r="R23" i="3"/>
  <c r="K23" i="3"/>
  <c r="R15" i="3"/>
  <c r="I44" i="2"/>
  <c r="I42" i="3" s="1"/>
  <c r="J44" i="2"/>
  <c r="J42" i="3" s="1"/>
  <c r="G42" i="2"/>
  <c r="G43" i="2" s="1"/>
  <c r="G37" i="3" s="1"/>
  <c r="H42" i="2"/>
  <c r="H43" i="2" s="1"/>
  <c r="H37" i="3" s="1"/>
  <c r="I42" i="2"/>
  <c r="I43" i="2" s="1"/>
  <c r="I37" i="3" s="1"/>
  <c r="J42" i="2"/>
  <c r="J43" i="2" s="1"/>
  <c r="J37" i="3" s="1"/>
  <c r="G30" i="2"/>
  <c r="H30" i="2"/>
  <c r="K26" i="2"/>
  <c r="G27" i="2"/>
  <c r="H27" i="2"/>
  <c r="I27" i="2"/>
  <c r="I23" i="3" s="1"/>
  <c r="J27" i="2"/>
  <c r="J23" i="3" s="1"/>
  <c r="H13" i="3"/>
  <c r="I13" i="3"/>
  <c r="J13" i="3"/>
  <c r="K13" i="3" s="1"/>
  <c r="G13" i="3"/>
  <c r="G23" i="9"/>
  <c r="G40" i="2"/>
  <c r="G44" i="2" s="1"/>
  <c r="G42" i="3" s="1"/>
  <c r="H47" i="2"/>
  <c r="I49" i="2" s="1"/>
  <c r="G47" i="2"/>
  <c r="F11" i="1"/>
  <c r="C25" i="1"/>
  <c r="P22" i="1"/>
  <c r="H39" i="1"/>
  <c r="C39" i="1"/>
  <c r="C38" i="1"/>
  <c r="H38" i="1" s="1"/>
  <c r="P23" i="1" s="1"/>
  <c r="C18" i="1"/>
  <c r="C19" i="1" s="1"/>
  <c r="E13" i="13" s="1"/>
  <c r="H9" i="1"/>
  <c r="H8" i="1"/>
  <c r="H40" i="2"/>
  <c r="I45" i="2" s="1"/>
  <c r="I35" i="3" s="1"/>
  <c r="J49" i="2"/>
  <c r="H13" i="2"/>
  <c r="I13" i="2"/>
  <c r="L4" i="3"/>
  <c r="M4" i="3" s="1"/>
  <c r="N4" i="3" s="1"/>
  <c r="O4" i="3" s="1"/>
  <c r="P4" i="3" s="1"/>
  <c r="Q4" i="3" s="1"/>
  <c r="R4" i="3" s="1"/>
  <c r="L49" i="3" l="1"/>
  <c r="K48" i="2"/>
  <c r="P6" i="2"/>
  <c r="P293" i="2"/>
  <c r="K32" i="2"/>
  <c r="L13" i="3"/>
  <c r="P220" i="2"/>
  <c r="P186" i="2" s="1"/>
  <c r="P176" i="2"/>
  <c r="P261" i="2" s="1"/>
  <c r="S143" i="2"/>
  <c r="J55" i="2"/>
  <c r="J67" i="2" s="1"/>
  <c r="J75" i="2" s="1"/>
  <c r="J86" i="2" s="1"/>
  <c r="J58" i="3"/>
  <c r="K60" i="3" s="1"/>
  <c r="K61" i="3" s="1"/>
  <c r="K147" i="2"/>
  <c r="K146" i="2"/>
  <c r="M87" i="3"/>
  <c r="M146" i="2" s="1"/>
  <c r="L146" i="2"/>
  <c r="L85" i="3"/>
  <c r="K144" i="2"/>
  <c r="M88" i="3"/>
  <c r="L147" i="2"/>
  <c r="Q84" i="3"/>
  <c r="Q143" i="2" s="1"/>
  <c r="P143" i="2"/>
  <c r="Q91" i="3"/>
  <c r="Q94" i="3"/>
  <c r="Q92" i="3"/>
  <c r="Q4" i="2"/>
  <c r="M44" i="3"/>
  <c r="M45" i="3" s="1"/>
  <c r="L65" i="3"/>
  <c r="L64" i="3" s="1"/>
  <c r="L42" i="3"/>
  <c r="L44" i="2" s="1"/>
  <c r="L239" i="2" s="1"/>
  <c r="L23" i="3"/>
  <c r="O53" i="3"/>
  <c r="L43" i="3"/>
  <c r="O56" i="3"/>
  <c r="O63" i="3"/>
  <c r="O54" i="3"/>
  <c r="P65" i="3"/>
  <c r="P64" i="3" s="1"/>
  <c r="K69" i="3"/>
  <c r="H44" i="2"/>
  <c r="H42" i="3" s="1"/>
  <c r="I55" i="2"/>
  <c r="K76" i="3"/>
  <c r="I36" i="2"/>
  <c r="J34" i="2" s="1"/>
  <c r="H57" i="2"/>
  <c r="H36" i="2" s="1"/>
  <c r="H30" i="3" s="1"/>
  <c r="G34" i="3"/>
  <c r="J36" i="2"/>
  <c r="K34" i="2" s="1"/>
  <c r="K18" i="2" s="1"/>
  <c r="H58" i="2"/>
  <c r="G58" i="2"/>
  <c r="H23" i="3"/>
  <c r="K20" i="3"/>
  <c r="K28" i="2"/>
  <c r="K27" i="2"/>
  <c r="O74" i="3"/>
  <c r="P75" i="3"/>
  <c r="O73" i="3"/>
  <c r="O76" i="3"/>
  <c r="K53" i="3" a="1"/>
  <c r="K53" i="3" s="1"/>
  <c r="K56" i="3"/>
  <c r="L55" i="3"/>
  <c r="K54" i="3"/>
  <c r="K39" i="3"/>
  <c r="G57" i="2"/>
  <c r="G36" i="2" s="1"/>
  <c r="P54" i="3"/>
  <c r="Q55" i="3"/>
  <c r="P53" i="3"/>
  <c r="P56" i="3"/>
  <c r="H59" i="2"/>
  <c r="H58" i="3" s="1"/>
  <c r="M25" i="3"/>
  <c r="L26" i="3"/>
  <c r="H45" i="2"/>
  <c r="H35" i="3" s="1"/>
  <c r="G59" i="2"/>
  <c r="G58" i="3" s="1"/>
  <c r="H34" i="3"/>
  <c r="O66" i="3"/>
  <c r="H49" i="2"/>
  <c r="C15" i="1"/>
  <c r="O8" i="1" s="1"/>
  <c r="L91" i="2"/>
  <c r="M91" i="2" s="1"/>
  <c r="N91" i="2" s="1"/>
  <c r="O91" i="2" s="1"/>
  <c r="P91" i="2" s="1"/>
  <c r="Q91" i="2" s="1"/>
  <c r="R91" i="2" s="1"/>
  <c r="L53" i="2"/>
  <c r="M53" i="2" s="1"/>
  <c r="N53" i="2" s="1"/>
  <c r="O53" i="2" s="1"/>
  <c r="P53" i="2" s="1"/>
  <c r="Q53" i="2" s="1"/>
  <c r="R53" i="2" s="1"/>
  <c r="L34" i="4"/>
  <c r="F34" i="4"/>
  <c r="M13" i="8"/>
  <c r="N13" i="8" s="1"/>
  <c r="O13" i="8" s="1"/>
  <c r="P13" i="8" s="1"/>
  <c r="Q13" i="8" s="1"/>
  <c r="D13" i="8"/>
  <c r="E13" i="8" s="1"/>
  <c r="F13" i="8" s="1"/>
  <c r="G13" i="8" s="1"/>
  <c r="H13" i="8" s="1"/>
  <c r="L10" i="2"/>
  <c r="Q6" i="2" l="1"/>
  <c r="Q293" i="2"/>
  <c r="L32" i="2"/>
  <c r="M13" i="3"/>
  <c r="M49" i="3"/>
  <c r="L48" i="2"/>
  <c r="Q220" i="2"/>
  <c r="Q186" i="2" s="1"/>
  <c r="Q176" i="2"/>
  <c r="Q261" i="2" s="1"/>
  <c r="T239" i="2"/>
  <c r="S239" i="2"/>
  <c r="I91" i="3"/>
  <c r="I78" i="3"/>
  <c r="J79" i="2"/>
  <c r="J83" i="2" s="1"/>
  <c r="J91" i="3"/>
  <c r="J78" i="3"/>
  <c r="K80" i="3" s="1"/>
  <c r="K78" i="3" s="1"/>
  <c r="T146" i="2"/>
  <c r="S146" i="2"/>
  <c r="T147" i="2"/>
  <c r="S147" i="2"/>
  <c r="S44" i="2"/>
  <c r="T44" i="2"/>
  <c r="M10" i="2"/>
  <c r="N10" i="2" s="1"/>
  <c r="O10" i="2" s="1"/>
  <c r="P10" i="2" s="1"/>
  <c r="Q10" i="2" s="1"/>
  <c r="R10" i="2" s="1"/>
  <c r="S10" i="2"/>
  <c r="T10" i="2"/>
  <c r="M85" i="3"/>
  <c r="L144" i="2"/>
  <c r="N88" i="3"/>
  <c r="M147" i="2"/>
  <c r="R4" i="2"/>
  <c r="I30" i="3"/>
  <c r="I67" i="2"/>
  <c r="I75" i="2" s="1"/>
  <c r="I86" i="2" s="1"/>
  <c r="M43" i="3"/>
  <c r="K66" i="3"/>
  <c r="M42" i="3"/>
  <c r="M44" i="2" s="1"/>
  <c r="M239" i="2" s="1"/>
  <c r="N44" i="3"/>
  <c r="N43" i="3" s="1"/>
  <c r="K58" i="3"/>
  <c r="L63" i="3"/>
  <c r="L66" i="3"/>
  <c r="M65" i="3"/>
  <c r="M64" i="3" s="1"/>
  <c r="K73" i="3"/>
  <c r="K64" i="3"/>
  <c r="K74" i="3"/>
  <c r="K63" i="3"/>
  <c r="Q65" i="3"/>
  <c r="Q64" i="3" s="1"/>
  <c r="P66" i="3"/>
  <c r="L60" i="3"/>
  <c r="L61" i="3" s="1"/>
  <c r="K59" i="3"/>
  <c r="P63" i="3"/>
  <c r="L75" i="3"/>
  <c r="M75" i="3" s="1"/>
  <c r="I34" i="2"/>
  <c r="L70" i="3"/>
  <c r="L68" i="3" s="1"/>
  <c r="K71" i="3"/>
  <c r="H48" i="2"/>
  <c r="H49" i="3" s="1"/>
  <c r="K68" i="3"/>
  <c r="J30" i="3"/>
  <c r="G48" i="2"/>
  <c r="G49" i="3" s="1"/>
  <c r="Q54" i="3"/>
  <c r="Q53" i="3"/>
  <c r="Q56" i="3"/>
  <c r="K29" i="2"/>
  <c r="J21" i="2"/>
  <c r="J18" i="2"/>
  <c r="J35" i="2"/>
  <c r="G55" i="2"/>
  <c r="G91" i="3" s="1"/>
  <c r="J68" i="2"/>
  <c r="M26" i="3"/>
  <c r="N25" i="3"/>
  <c r="M23" i="3"/>
  <c r="M24" i="3"/>
  <c r="G30" i="3"/>
  <c r="H34" i="2"/>
  <c r="L56" i="3"/>
  <c r="M55" i="3"/>
  <c r="L54" i="3"/>
  <c r="L53" i="3" a="1"/>
  <c r="L53" i="3" s="1"/>
  <c r="H55" i="2"/>
  <c r="K37" i="3"/>
  <c r="K43" i="2" s="1"/>
  <c r="K40" i="3"/>
  <c r="L39" i="3"/>
  <c r="K38" i="3"/>
  <c r="P74" i="3"/>
  <c r="Q75" i="3"/>
  <c r="P73" i="3"/>
  <c r="P76" i="3"/>
  <c r="C20" i="1"/>
  <c r="E15" i="13" s="1"/>
  <c r="O10" i="4"/>
  <c r="R6" i="2" l="1"/>
  <c r="R293" i="2"/>
  <c r="N49" i="3"/>
  <c r="M48" i="2"/>
  <c r="M32" i="2"/>
  <c r="N13" i="3"/>
  <c r="K79" i="3"/>
  <c r="L80" i="3"/>
  <c r="T270" i="2"/>
  <c r="T290" i="2"/>
  <c r="S270" i="2"/>
  <c r="S290" i="2"/>
  <c r="R220" i="2"/>
  <c r="R186" i="2" s="1"/>
  <c r="R176" i="2"/>
  <c r="R261" i="2" s="1"/>
  <c r="K81" i="3"/>
  <c r="T233" i="2"/>
  <c r="T246" i="2"/>
  <c r="T212" i="2"/>
  <c r="S233" i="2"/>
  <c r="S246" i="2"/>
  <c r="S212" i="2"/>
  <c r="T53" i="2"/>
  <c r="T167" i="2"/>
  <c r="T180" i="2"/>
  <c r="T123" i="2"/>
  <c r="T136" i="2"/>
  <c r="T91" i="2"/>
  <c r="I79" i="2"/>
  <c r="I83" i="2" s="1"/>
  <c r="S53" i="2"/>
  <c r="S167" i="2"/>
  <c r="S180" i="2"/>
  <c r="S136" i="2"/>
  <c r="S123" i="2"/>
  <c r="S91" i="2"/>
  <c r="H78" i="3"/>
  <c r="H91" i="3"/>
  <c r="T144" i="2"/>
  <c r="S144" i="2"/>
  <c r="K30" i="2"/>
  <c r="S26" i="2"/>
  <c r="N147" i="2"/>
  <c r="O88" i="3"/>
  <c r="N85" i="3"/>
  <c r="M144" i="2"/>
  <c r="I76" i="2"/>
  <c r="I87" i="2"/>
  <c r="H67" i="2"/>
  <c r="H75" i="2" s="1"/>
  <c r="H86" i="2" s="1"/>
  <c r="G67" i="2"/>
  <c r="G68" i="2" s="1"/>
  <c r="I68" i="2"/>
  <c r="N42" i="3"/>
  <c r="N44" i="2" s="1"/>
  <c r="N239" i="2" s="1"/>
  <c r="M66" i="3"/>
  <c r="M63" i="3"/>
  <c r="N45" i="3"/>
  <c r="O44" i="3"/>
  <c r="P44" i="3" s="1"/>
  <c r="I35" i="2"/>
  <c r="I19" i="2" s="1"/>
  <c r="I18" i="2"/>
  <c r="Q63" i="3"/>
  <c r="Q66" i="3"/>
  <c r="L69" i="3"/>
  <c r="M60" i="3"/>
  <c r="M58" i="3" s="1"/>
  <c r="L71" i="3"/>
  <c r="L59" i="3"/>
  <c r="M70" i="3"/>
  <c r="N70" i="3" s="1"/>
  <c r="L58" i="3"/>
  <c r="L73" i="3"/>
  <c r="L74" i="3"/>
  <c r="L76" i="3"/>
  <c r="L78" i="3"/>
  <c r="L81" i="3"/>
  <c r="M80" i="3"/>
  <c r="L79" i="3"/>
  <c r="M74" i="3"/>
  <c r="M73" i="3"/>
  <c r="M76" i="3"/>
  <c r="Q76" i="3"/>
  <c r="Q74" i="3"/>
  <c r="Q73" i="3"/>
  <c r="M56" i="3"/>
  <c r="M53" i="3" a="1"/>
  <c r="M53" i="3" s="1"/>
  <c r="M54" i="3"/>
  <c r="H21" i="2"/>
  <c r="H18" i="2"/>
  <c r="H35" i="2"/>
  <c r="L26" i="2"/>
  <c r="K28" i="3"/>
  <c r="K42" i="2"/>
  <c r="K41" i="2" s="1"/>
  <c r="K40" i="2" s="1"/>
  <c r="L37" i="3"/>
  <c r="L43" i="2" s="1"/>
  <c r="S43" i="2" s="1"/>
  <c r="T43" i="2" s="1"/>
  <c r="L40" i="3"/>
  <c r="M39" i="3"/>
  <c r="L38" i="3"/>
  <c r="N26" i="3"/>
  <c r="O25" i="3"/>
  <c r="N24" i="3"/>
  <c r="N23" i="3"/>
  <c r="J19" i="2"/>
  <c r="J145" i="2" s="1"/>
  <c r="J15" i="3"/>
  <c r="J76" i="2"/>
  <c r="J87" i="2"/>
  <c r="C8" i="1"/>
  <c r="P24" i="1"/>
  <c r="P25" i="1" s="1"/>
  <c r="N32" i="2" l="1"/>
  <c r="O13" i="3"/>
  <c r="C11" i="1"/>
  <c r="E7" i="13"/>
  <c r="O49" i="3"/>
  <c r="N48" i="2"/>
  <c r="H79" i="2"/>
  <c r="H83" i="2" s="1"/>
  <c r="O10" i="1"/>
  <c r="J139" i="2"/>
  <c r="J86" i="3"/>
  <c r="O85" i="3"/>
  <c r="N144" i="2"/>
  <c r="P88" i="3"/>
  <c r="O147" i="2"/>
  <c r="I15" i="3"/>
  <c r="O42" i="3"/>
  <c r="O44" i="2" s="1"/>
  <c r="O239" i="2" s="1"/>
  <c r="O45" i="3"/>
  <c r="O43" i="3"/>
  <c r="J128" i="2"/>
  <c r="J103" i="3" s="1"/>
  <c r="K103" i="3" s="1"/>
  <c r="J127" i="2"/>
  <c r="J102" i="3" s="1"/>
  <c r="K102" i="3" s="1"/>
  <c r="N60" i="3"/>
  <c r="N59" i="3" s="1"/>
  <c r="M61" i="3"/>
  <c r="M71" i="3"/>
  <c r="M68" i="3"/>
  <c r="M59" i="3"/>
  <c r="M69" i="3"/>
  <c r="Q44" i="3"/>
  <c r="P45" i="3"/>
  <c r="P43" i="3"/>
  <c r="P42" i="3"/>
  <c r="P44" i="2" s="1"/>
  <c r="P239" i="2" s="1"/>
  <c r="M40" i="3"/>
  <c r="N39" i="3"/>
  <c r="M38" i="3"/>
  <c r="M37" i="3"/>
  <c r="M43" i="2" s="1"/>
  <c r="H68" i="2"/>
  <c r="N68" i="3"/>
  <c r="N71" i="3"/>
  <c r="O70" i="3"/>
  <c r="N69" i="3"/>
  <c r="J10" i="3"/>
  <c r="K45" i="2"/>
  <c r="K35" i="3" s="1"/>
  <c r="K34" i="3"/>
  <c r="K58" i="2"/>
  <c r="L20" i="3"/>
  <c r="L28" i="2"/>
  <c r="L27" i="2"/>
  <c r="H15" i="3"/>
  <c r="H19" i="2"/>
  <c r="H139" i="2" s="1"/>
  <c r="H148" i="2" s="1"/>
  <c r="H89" i="3" s="1"/>
  <c r="O26" i="3"/>
  <c r="P25" i="3"/>
  <c r="O24" i="3"/>
  <c r="O23" i="3"/>
  <c r="M78" i="3"/>
  <c r="M81" i="3"/>
  <c r="N80" i="3"/>
  <c r="M79" i="3"/>
  <c r="T283" i="2" l="1"/>
  <c r="L283" i="2" s="1"/>
  <c r="S9" i="13"/>
  <c r="P49" i="3"/>
  <c r="O48" i="2"/>
  <c r="P13" i="3"/>
  <c r="O32" i="2"/>
  <c r="O11" i="1"/>
  <c r="T113" i="2"/>
  <c r="L113" i="2" s="1"/>
  <c r="I145" i="2"/>
  <c r="I86" i="3" s="1"/>
  <c r="K86" i="3" s="1"/>
  <c r="L86" i="3" s="1"/>
  <c r="M86" i="3" s="1"/>
  <c r="J148" i="2"/>
  <c r="J89" i="3" s="1"/>
  <c r="T27" i="2"/>
  <c r="S27" i="2"/>
  <c r="T28" i="2"/>
  <c r="S28" i="2"/>
  <c r="P147" i="2"/>
  <c r="Q88" i="3"/>
  <c r="O144" i="2"/>
  <c r="P85" i="3"/>
  <c r="I10" i="3"/>
  <c r="I139" i="2"/>
  <c r="L102" i="3"/>
  <c r="K127" i="2"/>
  <c r="L103" i="3"/>
  <c r="K128" i="2"/>
  <c r="I127" i="2"/>
  <c r="I102" i="3" s="1"/>
  <c r="I128" i="2"/>
  <c r="I103" i="3" s="1"/>
  <c r="K17" i="3"/>
  <c r="K16" i="3" s="1"/>
  <c r="J24" i="2"/>
  <c r="J11" i="3" s="1"/>
  <c r="O60" i="3"/>
  <c r="P60" i="3" s="1"/>
  <c r="N61" i="3"/>
  <c r="N58" i="3"/>
  <c r="H128" i="2"/>
  <c r="H103" i="3" s="1"/>
  <c r="H127" i="2"/>
  <c r="H102" i="3" s="1"/>
  <c r="Q42" i="3"/>
  <c r="Q44" i="2" s="1"/>
  <c r="Q239" i="2" s="1"/>
  <c r="Q45" i="3"/>
  <c r="Q43" i="3"/>
  <c r="H10" i="3"/>
  <c r="I24" i="2"/>
  <c r="I11" i="3" s="1"/>
  <c r="P26" i="3"/>
  <c r="Q25" i="3"/>
  <c r="P23" i="3"/>
  <c r="P24" i="3"/>
  <c r="O68" i="3"/>
  <c r="O71" i="3"/>
  <c r="P70" i="3"/>
  <c r="O69" i="3"/>
  <c r="N78" i="3"/>
  <c r="N81" i="3"/>
  <c r="O80" i="3"/>
  <c r="N79" i="3"/>
  <c r="L29" i="2"/>
  <c r="L30" i="2" s="1"/>
  <c r="H76" i="2"/>
  <c r="H87" i="2"/>
  <c r="N40" i="3"/>
  <c r="O39" i="3"/>
  <c r="N38" i="3"/>
  <c r="N37" i="3"/>
  <c r="N43" i="2" s="1"/>
  <c r="G13" i="1" l="1"/>
  <c r="S10" i="13"/>
  <c r="P32" i="2"/>
  <c r="Q13" i="3"/>
  <c r="Q49" i="3"/>
  <c r="Q48" i="2" s="1"/>
  <c r="P48" i="2"/>
  <c r="G10" i="1" a="1"/>
  <c r="G10" i="1" s="1"/>
  <c r="I148" i="2"/>
  <c r="I89" i="3" s="1"/>
  <c r="K89" i="3" s="1"/>
  <c r="K145" i="2"/>
  <c r="S29" i="2"/>
  <c r="T26" i="2" s="1"/>
  <c r="M145" i="2"/>
  <c r="L145" i="2"/>
  <c r="N86" i="3"/>
  <c r="P144" i="2"/>
  <c r="Q85" i="3"/>
  <c r="R88" i="3"/>
  <c r="R147" i="2" s="1"/>
  <c r="Q147" i="2"/>
  <c r="M103" i="3"/>
  <c r="L128" i="2"/>
  <c r="M102" i="3"/>
  <c r="L127" i="2"/>
  <c r="O61" i="3"/>
  <c r="L17" i="3"/>
  <c r="L15" i="3" s="1"/>
  <c r="K18" i="3"/>
  <c r="K15" i="3"/>
  <c r="K35" i="2" s="1"/>
  <c r="K19" i="2" s="1"/>
  <c r="O59" i="3"/>
  <c r="O58" i="3"/>
  <c r="O38" i="3"/>
  <c r="O40" i="3"/>
  <c r="P39" i="3"/>
  <c r="O37" i="3"/>
  <c r="O43" i="2" s="1"/>
  <c r="P61" i="3"/>
  <c r="Q60" i="3"/>
  <c r="P58" i="3"/>
  <c r="P59" i="3"/>
  <c r="L28" i="3"/>
  <c r="M26" i="2"/>
  <c r="L42" i="2"/>
  <c r="L41" i="2" s="1"/>
  <c r="L40" i="2" s="1"/>
  <c r="O78" i="3"/>
  <c r="O81" i="3"/>
  <c r="P80" i="3"/>
  <c r="O79" i="3"/>
  <c r="Q26" i="3"/>
  <c r="Q23" i="3"/>
  <c r="Q24" i="3"/>
  <c r="P68" i="3"/>
  <c r="P71" i="3"/>
  <c r="Q70" i="3"/>
  <c r="P69" i="3"/>
  <c r="N14" i="1" l="1"/>
  <c r="N9" i="13"/>
  <c r="R13" i="3"/>
  <c r="R32" i="2" s="1"/>
  <c r="Q32" i="2"/>
  <c r="G11" i="1" a="1"/>
  <c r="G11" i="1" s="1"/>
  <c r="C27" i="13" s="1"/>
  <c r="N12" i="13"/>
  <c r="N17" i="13" s="1" a="1"/>
  <c r="N17" i="13" s="1"/>
  <c r="H10" i="1"/>
  <c r="C40" i="1"/>
  <c r="T110" i="2"/>
  <c r="L110" i="2" s="1"/>
  <c r="M127" i="2"/>
  <c r="M128" i="2"/>
  <c r="L89" i="3"/>
  <c r="L148" i="2" s="1"/>
  <c r="K148" i="2"/>
  <c r="S30" i="2"/>
  <c r="S42" i="2" s="1"/>
  <c r="S41" i="2" s="1"/>
  <c r="S40" i="2" s="1"/>
  <c r="S58" i="2" s="1"/>
  <c r="T128" i="2"/>
  <c r="S128" i="2"/>
  <c r="S145" i="2"/>
  <c r="T145" i="2"/>
  <c r="T127" i="2"/>
  <c r="S127" i="2"/>
  <c r="T29" i="2"/>
  <c r="T30" i="2" s="1"/>
  <c r="T42" i="2" s="1"/>
  <c r="T41" i="2" s="1"/>
  <c r="T40" i="2" s="1"/>
  <c r="T58" i="2" s="1"/>
  <c r="N145" i="2"/>
  <c r="O86" i="3"/>
  <c r="R85" i="3"/>
  <c r="R144" i="2" s="1"/>
  <c r="Q144" i="2"/>
  <c r="L16" i="3"/>
  <c r="L18" i="3"/>
  <c r="M17" i="3"/>
  <c r="N17" i="3" s="1"/>
  <c r="K36" i="2"/>
  <c r="P79" i="3"/>
  <c r="P78" i="3"/>
  <c r="P81" i="3"/>
  <c r="Q80" i="3"/>
  <c r="Q61" i="3"/>
  <c r="Q58" i="3"/>
  <c r="Q59" i="3"/>
  <c r="L58" i="2"/>
  <c r="L45" i="2"/>
  <c r="L35" i="3" s="1"/>
  <c r="L34" i="3"/>
  <c r="M27" i="2"/>
  <c r="M20" i="3"/>
  <c r="M28" i="2"/>
  <c r="P38" i="3"/>
  <c r="P37" i="3"/>
  <c r="P43" i="2" s="1"/>
  <c r="P40" i="3"/>
  <c r="Q39" i="3"/>
  <c r="Q68" i="3"/>
  <c r="Q71" i="3"/>
  <c r="Q69" i="3"/>
  <c r="T278" i="2" l="1"/>
  <c r="L278" i="2" s="1"/>
  <c r="L14" i="1"/>
  <c r="N10" i="13"/>
  <c r="T111" i="2"/>
  <c r="L111" i="2" s="1"/>
  <c r="H11" i="1"/>
  <c r="M10" i="13" s="1"/>
  <c r="C41" i="1"/>
  <c r="D41" i="1" s="1"/>
  <c r="M9" i="13"/>
  <c r="K313" i="2"/>
  <c r="K314" i="2" s="1"/>
  <c r="K315" i="2" s="1"/>
  <c r="K316" i="2" s="1"/>
  <c r="K317" i="2" s="1"/>
  <c r="K318" i="2" s="1"/>
  <c r="D40" i="1"/>
  <c r="M89" i="3"/>
  <c r="N89" i="3" s="1"/>
  <c r="T148" i="2"/>
  <c r="S148" i="2"/>
  <c r="L34" i="2"/>
  <c r="L18" i="2" s="1"/>
  <c r="S34" i="2"/>
  <c r="O145" i="2"/>
  <c r="P86" i="3"/>
  <c r="P145" i="2" s="1"/>
  <c r="M18" i="3"/>
  <c r="M16" i="3"/>
  <c r="M15" i="3"/>
  <c r="K20" i="2"/>
  <c r="K21" i="2"/>
  <c r="K30" i="3"/>
  <c r="M29" i="2"/>
  <c r="M30" i="2" s="1"/>
  <c r="Q79" i="3"/>
  <c r="Q78" i="3"/>
  <c r="Q81" i="3"/>
  <c r="N18" i="3"/>
  <c r="O17" i="3"/>
  <c r="N16" i="3"/>
  <c r="N15" i="3"/>
  <c r="Q38" i="3"/>
  <c r="Q37" i="3"/>
  <c r="Q43" i="2" s="1"/>
  <c r="Q40" i="3"/>
  <c r="D38" i="1" l="1"/>
  <c r="D39" i="1"/>
  <c r="H13" i="1"/>
  <c r="M12" i="13" s="1"/>
  <c r="H15" i="1"/>
  <c r="M148" i="2"/>
  <c r="L35" i="2"/>
  <c r="T18" i="2"/>
  <c r="S18" i="2"/>
  <c r="Q86" i="3"/>
  <c r="O89" i="3"/>
  <c r="N148" i="2"/>
  <c r="K23" i="2"/>
  <c r="K24" i="2" s="1"/>
  <c r="K11" i="3" s="1"/>
  <c r="N26" i="2"/>
  <c r="N20" i="3" s="1"/>
  <c r="M28" i="3"/>
  <c r="M42" i="2"/>
  <c r="M41" i="2" s="1"/>
  <c r="M40" i="2" s="1"/>
  <c r="M34" i="3" s="1"/>
  <c r="O16" i="3"/>
  <c r="O15" i="3"/>
  <c r="O18" i="3"/>
  <c r="P17" i="3"/>
  <c r="L19" i="2" l="1"/>
  <c r="S35" i="2"/>
  <c r="L36" i="2"/>
  <c r="M34" i="2" s="1"/>
  <c r="T35" i="2"/>
  <c r="S36" i="2"/>
  <c r="T34" i="2" s="1"/>
  <c r="T19" i="2"/>
  <c r="S19" i="2"/>
  <c r="R86" i="3"/>
  <c r="R145" i="2" s="1"/>
  <c r="Q145" i="2"/>
  <c r="O148" i="2"/>
  <c r="P89" i="3"/>
  <c r="K57" i="2"/>
  <c r="K47" i="2"/>
  <c r="K13" i="2" s="1"/>
  <c r="K10" i="3"/>
  <c r="K139" i="2"/>
  <c r="K157" i="2" s="1"/>
  <c r="N27" i="2"/>
  <c r="N28" i="2"/>
  <c r="M45" i="2"/>
  <c r="M35" i="3" s="1"/>
  <c r="M58" i="2"/>
  <c r="P16" i="3"/>
  <c r="P15" i="3"/>
  <c r="P18" i="3"/>
  <c r="Q17" i="3"/>
  <c r="L21" i="2" l="1"/>
  <c r="S21" i="2" s="1"/>
  <c r="L20" i="2"/>
  <c r="L30" i="3"/>
  <c r="T36" i="2"/>
  <c r="K71" i="2"/>
  <c r="K70" i="2"/>
  <c r="K56" i="2"/>
  <c r="K154" i="2"/>
  <c r="Q89" i="3"/>
  <c r="P148" i="2"/>
  <c r="K131" i="2"/>
  <c r="K102" i="2" s="1"/>
  <c r="K130" i="2"/>
  <c r="K101" i="2" s="1"/>
  <c r="K64" i="2"/>
  <c r="K49" i="2"/>
  <c r="K59" i="2"/>
  <c r="K63" i="2" s="1"/>
  <c r="K62" i="2"/>
  <c r="K140" i="2"/>
  <c r="K152" i="2" s="1"/>
  <c r="N29" i="2"/>
  <c r="N30" i="2" s="1"/>
  <c r="M18" i="2"/>
  <c r="M35" i="2"/>
  <c r="M19" i="2" s="1"/>
  <c r="Q15" i="3"/>
  <c r="Q16" i="3"/>
  <c r="Q18" i="3"/>
  <c r="L23" i="2" l="1"/>
  <c r="L139" i="2" s="1"/>
  <c r="L157" i="2" s="1"/>
  <c r="T20" i="2"/>
  <c r="S20" i="2"/>
  <c r="S23" i="2" s="1"/>
  <c r="S57" i="2" s="1"/>
  <c r="T21" i="2"/>
  <c r="K103" i="2"/>
  <c r="R89" i="3"/>
  <c r="R148" i="2" s="1"/>
  <c r="Q148" i="2"/>
  <c r="K132" i="2"/>
  <c r="K55" i="2"/>
  <c r="K85" i="2" s="1"/>
  <c r="K97" i="2" s="1"/>
  <c r="N42" i="2"/>
  <c r="N41" i="2" s="1"/>
  <c r="N40" i="2" s="1"/>
  <c r="N45" i="2" s="1"/>
  <c r="N35" i="3" s="1"/>
  <c r="O26" i="2"/>
  <c r="O20" i="3" s="1"/>
  <c r="N28" i="3"/>
  <c r="M36" i="2"/>
  <c r="L47" i="2" l="1"/>
  <c r="L59" i="2" s="1"/>
  <c r="L63" i="2" s="1"/>
  <c r="L24" i="2"/>
  <c r="L11" i="3" s="1"/>
  <c r="L10" i="3"/>
  <c r="L57" i="2"/>
  <c r="L154" i="2" s="1"/>
  <c r="T23" i="2"/>
  <c r="T57" i="2" s="1"/>
  <c r="S139" i="2"/>
  <c r="T139" i="2"/>
  <c r="K73" i="2"/>
  <c r="S157" i="2"/>
  <c r="T157" i="2"/>
  <c r="S56" i="2"/>
  <c r="S131" i="2"/>
  <c r="S102" i="2" s="1"/>
  <c r="S130" i="2"/>
  <c r="S101" i="2" s="1"/>
  <c r="T56" i="2"/>
  <c r="T131" i="2"/>
  <c r="T102" i="2" s="1"/>
  <c r="T130" i="2"/>
  <c r="T101" i="2" s="1"/>
  <c r="T47" i="2"/>
  <c r="N34" i="3"/>
  <c r="N58" i="2"/>
  <c r="O28" i="2"/>
  <c r="O27" i="2"/>
  <c r="N34" i="2"/>
  <c r="M30" i="3"/>
  <c r="M20" i="2"/>
  <c r="M21" i="2"/>
  <c r="S47" i="2" l="1"/>
  <c r="S12" i="2" s="1"/>
  <c r="S140" i="2" s="1"/>
  <c r="L12" i="2"/>
  <c r="L13" i="2" s="1"/>
  <c r="L49" i="2"/>
  <c r="L64" i="2"/>
  <c r="T64" i="2" s="1"/>
  <c r="L56" i="2"/>
  <c r="L130" i="2"/>
  <c r="L101" i="2" s="1"/>
  <c r="L62" i="2"/>
  <c r="T62" i="2" s="1"/>
  <c r="L71" i="2"/>
  <c r="T71" i="2" s="1"/>
  <c r="L70" i="2"/>
  <c r="S70" i="2" s="1"/>
  <c r="L131" i="2"/>
  <c r="L102" i="2" s="1"/>
  <c r="S132" i="2"/>
  <c r="K65" i="2"/>
  <c r="K61" i="2" s="1"/>
  <c r="K141" i="2" s="1"/>
  <c r="K96" i="2"/>
  <c r="T132" i="2"/>
  <c r="T154" i="2"/>
  <c r="S154" i="2"/>
  <c r="T12" i="2"/>
  <c r="T140" i="2" s="1"/>
  <c r="T59" i="2"/>
  <c r="T55" i="2" s="1"/>
  <c r="T63" i="2"/>
  <c r="S63" i="2"/>
  <c r="O29" i="2"/>
  <c r="O30" i="2" s="1"/>
  <c r="M23" i="2"/>
  <c r="M139" i="2" s="1"/>
  <c r="M157" i="2" s="1"/>
  <c r="N18" i="2"/>
  <c r="N35" i="2"/>
  <c r="N19" i="2" s="1"/>
  <c r="L103" i="2" l="1"/>
  <c r="L55" i="2"/>
  <c r="S71" i="2"/>
  <c r="S59" i="2"/>
  <c r="S55" i="2" s="1"/>
  <c r="L132" i="2"/>
  <c r="S62" i="2"/>
  <c r="T70" i="2"/>
  <c r="L140" i="2"/>
  <c r="L152" i="2" s="1"/>
  <c r="S152" i="2" s="1"/>
  <c r="S64" i="2"/>
  <c r="S103" i="2"/>
  <c r="S185" i="2" s="1"/>
  <c r="T103" i="2"/>
  <c r="L73" i="2"/>
  <c r="L85" i="2"/>
  <c r="K67" i="2"/>
  <c r="K156" i="2"/>
  <c r="K155" i="2"/>
  <c r="K153" i="2"/>
  <c r="O42" i="2"/>
  <c r="O41" i="2" s="1"/>
  <c r="O40" i="2" s="1"/>
  <c r="O34" i="3" s="1"/>
  <c r="O28" i="3"/>
  <c r="P26" i="2"/>
  <c r="P20" i="3" s="1"/>
  <c r="N36" i="2"/>
  <c r="M10" i="3"/>
  <c r="M57" i="2"/>
  <c r="M24" i="2"/>
  <c r="M11" i="3" s="1"/>
  <c r="M47" i="2"/>
  <c r="T185" i="2" l="1"/>
  <c r="L185" i="2" s="1"/>
  <c r="J38" i="13"/>
  <c r="J39" i="13" s="1"/>
  <c r="T152" i="2"/>
  <c r="L97" i="2"/>
  <c r="L274" i="2"/>
  <c r="L65" i="2"/>
  <c r="L61" i="2" s="1"/>
  <c r="L96" i="2"/>
  <c r="T85" i="2"/>
  <c r="S85" i="2"/>
  <c r="M71" i="2"/>
  <c r="M70" i="2"/>
  <c r="K75" i="2"/>
  <c r="S73" i="2"/>
  <c r="S96" i="2" s="1"/>
  <c r="T73" i="2"/>
  <c r="T96" i="2" s="1"/>
  <c r="K160" i="2"/>
  <c r="K68" i="2"/>
  <c r="K159" i="2"/>
  <c r="M154" i="2"/>
  <c r="M130" i="2"/>
  <c r="M101" i="2" s="1"/>
  <c r="M131" i="2"/>
  <c r="M102" i="2" s="1"/>
  <c r="P28" i="2"/>
  <c r="P27" i="2"/>
  <c r="O58" i="2"/>
  <c r="O45" i="2"/>
  <c r="O35" i="3" s="1"/>
  <c r="M56" i="2"/>
  <c r="M64" i="2"/>
  <c r="M62" i="2"/>
  <c r="M49" i="2"/>
  <c r="M59" i="2"/>
  <c r="M12" i="2"/>
  <c r="O34" i="2"/>
  <c r="N30" i="3"/>
  <c r="N21" i="2"/>
  <c r="N20" i="2"/>
  <c r="T97" i="2" l="1"/>
  <c r="T274" i="2"/>
  <c r="S97" i="2"/>
  <c r="S274" i="2"/>
  <c r="K86" i="2"/>
  <c r="K87" i="2" s="1"/>
  <c r="T65" i="2"/>
  <c r="T61" i="2" s="1"/>
  <c r="S65" i="2"/>
  <c r="S61" i="2" s="1"/>
  <c r="K76" i="2"/>
  <c r="L141" i="2"/>
  <c r="L156" i="2" s="1"/>
  <c r="K161" i="2"/>
  <c r="M103" i="2"/>
  <c r="L67" i="2"/>
  <c r="P29" i="2"/>
  <c r="P30" i="2" s="1"/>
  <c r="M132" i="2"/>
  <c r="M13" i="2"/>
  <c r="M140" i="2"/>
  <c r="M152" i="2" s="1"/>
  <c r="M55" i="2"/>
  <c r="M63" i="2"/>
  <c r="N23" i="2"/>
  <c r="O35" i="2"/>
  <c r="O19" i="2" s="1"/>
  <c r="O18" i="2"/>
  <c r="M185" i="2" l="1"/>
  <c r="K38" i="13"/>
  <c r="K39" i="13" s="1"/>
  <c r="T275" i="2"/>
  <c r="L275" i="2" s="1"/>
  <c r="L309" i="2" s="1"/>
  <c r="T279" i="2"/>
  <c r="L155" i="2"/>
  <c r="L160" i="2" s="1"/>
  <c r="M73" i="2"/>
  <c r="M85" i="2"/>
  <c r="S141" i="2"/>
  <c r="S67" i="2"/>
  <c r="T141" i="2"/>
  <c r="T67" i="2"/>
  <c r="L153" i="2"/>
  <c r="S153" i="2" s="1"/>
  <c r="S159" i="2" s="1"/>
  <c r="T68" i="2"/>
  <c r="T75" i="2"/>
  <c r="T156" i="2"/>
  <c r="S156" i="2"/>
  <c r="L68" i="2"/>
  <c r="L75" i="2"/>
  <c r="K163" i="2"/>
  <c r="K95" i="2" s="1"/>
  <c r="P28" i="3"/>
  <c r="P42" i="2"/>
  <c r="P41" i="2" s="1"/>
  <c r="P40" i="2" s="1"/>
  <c r="P45" i="2" s="1"/>
  <c r="P35" i="3" s="1"/>
  <c r="Q26" i="2"/>
  <c r="Q20" i="3" s="1"/>
  <c r="N24" i="2"/>
  <c r="N11" i="3" s="1"/>
  <c r="N139" i="2"/>
  <c r="N157" i="2" s="1"/>
  <c r="N57" i="2"/>
  <c r="N10" i="3"/>
  <c r="N47" i="2"/>
  <c r="N12" i="2" s="1"/>
  <c r="O36" i="2"/>
  <c r="L159" i="2" l="1"/>
  <c r="L161" i="2" s="1"/>
  <c r="L163" i="2" s="1"/>
  <c r="L95" i="2" s="1"/>
  <c r="L279" i="2"/>
  <c r="T280" i="2"/>
  <c r="L280" i="2" s="1"/>
  <c r="M278" i="2" s="1"/>
  <c r="M97" i="2"/>
  <c r="M274" i="2"/>
  <c r="S155" i="2"/>
  <c r="S160" i="2" s="1"/>
  <c r="S161" i="2" s="1"/>
  <c r="T155" i="2"/>
  <c r="T160" i="2" s="1"/>
  <c r="M65" i="2"/>
  <c r="M61" i="2" s="1"/>
  <c r="M96" i="2"/>
  <c r="T153" i="2"/>
  <c r="T159" i="2" s="1"/>
  <c r="L86" i="2"/>
  <c r="T86" i="2"/>
  <c r="T87" i="2" s="1"/>
  <c r="N71" i="2"/>
  <c r="N70" i="2"/>
  <c r="S75" i="2"/>
  <c r="S68" i="2"/>
  <c r="T76" i="2"/>
  <c r="L76" i="2"/>
  <c r="Q27" i="2"/>
  <c r="Q28" i="2"/>
  <c r="P34" i="3"/>
  <c r="P58" i="2"/>
  <c r="N154" i="2"/>
  <c r="N13" i="2"/>
  <c r="N140" i="2"/>
  <c r="N152" i="2" s="1"/>
  <c r="N130" i="2"/>
  <c r="N101" i="2" s="1"/>
  <c r="N131" i="2"/>
  <c r="N102" i="2" s="1"/>
  <c r="N56" i="2"/>
  <c r="N64" i="2"/>
  <c r="N62" i="2"/>
  <c r="N59" i="2"/>
  <c r="N49" i="2"/>
  <c r="P34" i="2"/>
  <c r="O30" i="3"/>
  <c r="O21" i="2"/>
  <c r="O20" i="2"/>
  <c r="L87" i="2" l="1"/>
  <c r="L296" i="2"/>
  <c r="L298" i="2" s="1"/>
  <c r="L305" i="2" s="1"/>
  <c r="M279" i="2"/>
  <c r="M280" i="2" s="1"/>
  <c r="N278" i="2" s="1"/>
  <c r="T161" i="2"/>
  <c r="T163" i="2" s="1"/>
  <c r="T95" i="2" s="1"/>
  <c r="S86" i="2"/>
  <c r="S87" i="2" s="1"/>
  <c r="S76" i="2"/>
  <c r="M141" i="2"/>
  <c r="M155" i="2" s="1"/>
  <c r="S163" i="2"/>
  <c r="S95" i="2" s="1"/>
  <c r="Q29" i="2"/>
  <c r="Q30" i="2" s="1"/>
  <c r="N103" i="2"/>
  <c r="N185" i="2" s="1"/>
  <c r="M67" i="2"/>
  <c r="N132" i="2"/>
  <c r="N55" i="2"/>
  <c r="N63" i="2"/>
  <c r="O23" i="2"/>
  <c r="P35" i="2"/>
  <c r="P19" i="2" s="1"/>
  <c r="P18" i="2"/>
  <c r="M156" i="2" l="1"/>
  <c r="M160" i="2" s="1"/>
  <c r="M153" i="2"/>
  <c r="M159" i="2" s="1"/>
  <c r="N73" i="2"/>
  <c r="N85" i="2"/>
  <c r="M68" i="2"/>
  <c r="M75" i="2"/>
  <c r="Q42" i="2"/>
  <c r="Q41" i="2" s="1"/>
  <c r="Q40" i="2" s="1"/>
  <c r="Q34" i="3" s="1"/>
  <c r="Q28" i="3"/>
  <c r="R26" i="2"/>
  <c r="R28" i="2" s="1"/>
  <c r="O24" i="2"/>
  <c r="O11" i="3" s="1"/>
  <c r="O139" i="2"/>
  <c r="O157" i="2" s="1"/>
  <c r="O10" i="3"/>
  <c r="O57" i="2"/>
  <c r="O47" i="2"/>
  <c r="O49" i="2" s="1"/>
  <c r="P36" i="2"/>
  <c r="M161" i="2" l="1"/>
  <c r="M163" i="2" s="1"/>
  <c r="M95" i="2" s="1"/>
  <c r="N97" i="2"/>
  <c r="N274" i="2"/>
  <c r="N65" i="2"/>
  <c r="N61" i="2" s="1"/>
  <c r="N141" i="2" s="1"/>
  <c r="N96" i="2"/>
  <c r="M86" i="2"/>
  <c r="O71" i="2"/>
  <c r="O70" i="2"/>
  <c r="R20" i="3"/>
  <c r="R27" i="2"/>
  <c r="R29" i="2" s="1"/>
  <c r="R30" i="2" s="1"/>
  <c r="Q58" i="2"/>
  <c r="Q45" i="2"/>
  <c r="Q35" i="3" s="1"/>
  <c r="M76" i="2"/>
  <c r="O154" i="2"/>
  <c r="O131" i="2"/>
  <c r="O102" i="2" s="1"/>
  <c r="O130" i="2"/>
  <c r="O101" i="2" s="1"/>
  <c r="O56" i="2"/>
  <c r="O62" i="2"/>
  <c r="O64" i="2"/>
  <c r="O59" i="2"/>
  <c r="O12" i="2"/>
  <c r="Q34" i="2"/>
  <c r="P30" i="3"/>
  <c r="P21" i="2"/>
  <c r="P20" i="2"/>
  <c r="M87" i="2" l="1"/>
  <c r="M296" i="2"/>
  <c r="M298" i="2" s="1"/>
  <c r="M305" i="2" s="1"/>
  <c r="N279" i="2"/>
  <c r="N280" i="2" s="1"/>
  <c r="O278" i="2" s="1"/>
  <c r="O103" i="2"/>
  <c r="O185" i="2" s="1"/>
  <c r="N67" i="2"/>
  <c r="N75" i="2" s="1"/>
  <c r="O132" i="2"/>
  <c r="O13" i="2"/>
  <c r="O140" i="2"/>
  <c r="O152" i="2" s="1"/>
  <c r="O55" i="2"/>
  <c r="O63" i="2"/>
  <c r="P23" i="2"/>
  <c r="R28" i="3"/>
  <c r="R42" i="2"/>
  <c r="R41" i="2" s="1"/>
  <c r="R40" i="2" s="1"/>
  <c r="Q35" i="2"/>
  <c r="Q19" i="2" s="1"/>
  <c r="Q18" i="2"/>
  <c r="O73" i="2" l="1"/>
  <c r="O85" i="2"/>
  <c r="N86" i="2"/>
  <c r="N296" i="2" s="1"/>
  <c r="N298" i="2" s="1"/>
  <c r="N305" i="2" s="1"/>
  <c r="N68" i="2"/>
  <c r="N155" i="2"/>
  <c r="N156" i="2"/>
  <c r="N153" i="2"/>
  <c r="N159" i="2" s="1"/>
  <c r="P57" i="2"/>
  <c r="P139" i="2"/>
  <c r="P157" i="2" s="1"/>
  <c r="P47" i="2"/>
  <c r="P59" i="2" s="1"/>
  <c r="P24" i="2"/>
  <c r="P11" i="3" s="1"/>
  <c r="P10" i="3"/>
  <c r="Q36" i="2"/>
  <c r="R34" i="3"/>
  <c r="R45" i="2"/>
  <c r="R35" i="3" s="1"/>
  <c r="R58" i="2"/>
  <c r="O97" i="2" l="1"/>
  <c r="O274" i="2"/>
  <c r="O65" i="2"/>
  <c r="O61" i="2" s="1"/>
  <c r="O96" i="2"/>
  <c r="P71" i="2"/>
  <c r="P70" i="2"/>
  <c r="P56" i="2"/>
  <c r="P154" i="2"/>
  <c r="N160" i="2"/>
  <c r="N161" i="2" s="1"/>
  <c r="N163" i="2" s="1"/>
  <c r="N95" i="2" s="1"/>
  <c r="N87" i="2"/>
  <c r="N76" i="2"/>
  <c r="P62" i="2"/>
  <c r="P131" i="2"/>
  <c r="P102" i="2" s="1"/>
  <c r="P130" i="2"/>
  <c r="P101" i="2" s="1"/>
  <c r="P64" i="2"/>
  <c r="P12" i="2"/>
  <c r="P63" i="2"/>
  <c r="P49" i="2"/>
  <c r="Q30" i="3"/>
  <c r="R34" i="2"/>
  <c r="Q20" i="2"/>
  <c r="Q21" i="2"/>
  <c r="P55" i="2" l="1"/>
  <c r="O279" i="2"/>
  <c r="O280" i="2" s="1"/>
  <c r="P278" i="2" s="1"/>
  <c r="P73" i="2"/>
  <c r="P85" i="2"/>
  <c r="O141" i="2"/>
  <c r="O155" i="2" s="1"/>
  <c r="O67" i="2"/>
  <c r="P103" i="2"/>
  <c r="P185" i="2" s="1"/>
  <c r="P132" i="2"/>
  <c r="P13" i="2"/>
  <c r="P140" i="2"/>
  <c r="P152" i="2" s="1"/>
  <c r="Q23" i="2"/>
  <c r="Q139" i="2" s="1"/>
  <c r="Q157" i="2" s="1"/>
  <c r="R35" i="2"/>
  <c r="R19" i="2" s="1"/>
  <c r="R18" i="2"/>
  <c r="P97" i="2" l="1"/>
  <c r="P274" i="2"/>
  <c r="P65" i="2"/>
  <c r="P61" i="2" s="1"/>
  <c r="P141" i="2" s="1"/>
  <c r="P96" i="2"/>
  <c r="O153" i="2"/>
  <c r="O159" i="2" s="1"/>
  <c r="O156" i="2"/>
  <c r="O160" i="2" s="1"/>
  <c r="O68" i="2"/>
  <c r="O75" i="2"/>
  <c r="O76" i="2" s="1"/>
  <c r="R36" i="2"/>
  <c r="Q57" i="2"/>
  <c r="Q24" i="2"/>
  <c r="Q11" i="3" s="1"/>
  <c r="Q10" i="3"/>
  <c r="Q47" i="2"/>
  <c r="P279" i="2" l="1"/>
  <c r="P280" i="2" s="1"/>
  <c r="Q278" i="2" s="1"/>
  <c r="O86" i="2"/>
  <c r="O161" i="2"/>
  <c r="O163" i="2" s="1"/>
  <c r="O95" i="2" s="1"/>
  <c r="Q71" i="2"/>
  <c r="Q70" i="2"/>
  <c r="P67" i="2"/>
  <c r="P75" i="2" s="1"/>
  <c r="Q154" i="2"/>
  <c r="P155" i="2"/>
  <c r="P156" i="2"/>
  <c r="P153" i="2"/>
  <c r="P159" i="2" s="1"/>
  <c r="Q131" i="2"/>
  <c r="Q102" i="2" s="1"/>
  <c r="Q130" i="2"/>
  <c r="Q101" i="2" s="1"/>
  <c r="Q56" i="2"/>
  <c r="Q62" i="2"/>
  <c r="Q64" i="2"/>
  <c r="R30" i="3"/>
  <c r="R20" i="2"/>
  <c r="R21" i="2"/>
  <c r="Q59" i="2"/>
  <c r="Q49" i="2"/>
  <c r="Q12" i="2"/>
  <c r="P68" i="2" l="1"/>
  <c r="O87" i="2"/>
  <c r="O296" i="2"/>
  <c r="O298" i="2" s="1"/>
  <c r="O305" i="2" s="1"/>
  <c r="P86" i="2"/>
  <c r="Q103" i="2"/>
  <c r="Q185" i="2" s="1"/>
  <c r="P160" i="2"/>
  <c r="P161" i="2" s="1"/>
  <c r="P163" i="2" s="1"/>
  <c r="P95" i="2" s="1"/>
  <c r="Q132" i="2"/>
  <c r="P76" i="2"/>
  <c r="Q13" i="2"/>
  <c r="Q140" i="2"/>
  <c r="Q152" i="2" s="1"/>
  <c r="Q55" i="2"/>
  <c r="Q63" i="2"/>
  <c r="R23" i="2"/>
  <c r="R139" i="2" s="1"/>
  <c r="R157" i="2" s="1"/>
  <c r="P87" i="2" l="1"/>
  <c r="P296" i="2"/>
  <c r="P298" i="2" s="1"/>
  <c r="P305" i="2" s="1"/>
  <c r="Q73" i="2"/>
  <c r="Q85" i="2"/>
  <c r="R57" i="2"/>
  <c r="R47" i="2"/>
  <c r="R24" i="2"/>
  <c r="R11" i="3" s="1"/>
  <c r="R10" i="3"/>
  <c r="Q97" i="2" l="1"/>
  <c r="Q274" i="2"/>
  <c r="Q65" i="2"/>
  <c r="Q61" i="2" s="1"/>
  <c r="Q96" i="2"/>
  <c r="R70" i="2"/>
  <c r="R71" i="2"/>
  <c r="R154" i="2"/>
  <c r="R131" i="2"/>
  <c r="R102" i="2" s="1"/>
  <c r="R130" i="2"/>
  <c r="R101" i="2" s="1"/>
  <c r="R56" i="2"/>
  <c r="R64" i="2"/>
  <c r="R62" i="2"/>
  <c r="R59" i="2"/>
  <c r="R49" i="2"/>
  <c r="R12" i="2"/>
  <c r="Q279" i="2" l="1"/>
  <c r="Q280" i="2" s="1"/>
  <c r="R278" i="2" s="1"/>
  <c r="Q141" i="2"/>
  <c r="Q155" i="2" s="1"/>
  <c r="R103" i="2"/>
  <c r="R185" i="2" s="1"/>
  <c r="Q67" i="2"/>
  <c r="Q68" i="2" s="1"/>
  <c r="R132" i="2"/>
  <c r="R13" i="2"/>
  <c r="R140" i="2"/>
  <c r="R152" i="2" s="1"/>
  <c r="R55" i="2"/>
  <c r="R63" i="2"/>
  <c r="R73" i="2" l="1"/>
  <c r="R85" i="2"/>
  <c r="Q156" i="2"/>
  <c r="Q160" i="2" s="1"/>
  <c r="Q153" i="2"/>
  <c r="Q159" i="2" s="1"/>
  <c r="Q75" i="2"/>
  <c r="Q76" i="2" s="1"/>
  <c r="S5" i="2"/>
  <c r="S138" i="2" s="1"/>
  <c r="T5" i="2"/>
  <c r="T138" i="2" s="1"/>
  <c r="S4" i="2"/>
  <c r="S2" i="2" s="1"/>
  <c r="R97" i="2" l="1"/>
  <c r="R274" i="2"/>
  <c r="R65" i="2"/>
  <c r="R61" i="2" s="1"/>
  <c r="R141" i="2" s="1"/>
  <c r="R96" i="2"/>
  <c r="Q161" i="2"/>
  <c r="Q163" i="2" s="1"/>
  <c r="Q95" i="2" s="1"/>
  <c r="Q86" i="2"/>
  <c r="T4" i="2"/>
  <c r="T2" i="2" s="1"/>
  <c r="Q87" i="2" l="1"/>
  <c r="Q296" i="2"/>
  <c r="Q298" i="2" s="1"/>
  <c r="Q305" i="2" s="1"/>
  <c r="R279" i="2"/>
  <c r="R280" i="2" s="1"/>
  <c r="R67" i="2"/>
  <c r="R155" i="2"/>
  <c r="R156" i="2"/>
  <c r="R153" i="2"/>
  <c r="R159" i="2" s="1"/>
  <c r="R68" i="2" l="1"/>
  <c r="R75" i="2"/>
  <c r="R160" i="2"/>
  <c r="R161" i="2" s="1"/>
  <c r="R163" i="2" s="1"/>
  <c r="R95" i="2" s="1"/>
  <c r="R86" i="2" l="1"/>
  <c r="R76" i="2"/>
  <c r="R87" i="2" l="1"/>
  <c r="R296" i="2"/>
  <c r="R298" i="2" s="1"/>
  <c r="R305" i="2" s="1"/>
  <c r="T106" i="2"/>
  <c r="L106" i="2" s="1"/>
  <c r="T172" i="2"/>
  <c r="T255" i="2" s="1"/>
  <c r="T249" i="2"/>
  <c r="L249" i="2" s="1"/>
  <c r="T176" i="2" l="1"/>
  <c r="L176" i="2"/>
  <c r="L261" i="2" s="1"/>
  <c r="T261" i="2"/>
  <c r="L172" i="2"/>
  <c r="L255" i="2" s="1"/>
  <c r="L186" i="2"/>
  <c r="S216" i="2"/>
  <c r="S217" i="2" s="1"/>
  <c r="K78" i="2"/>
  <c r="L78" i="2"/>
  <c r="M78" i="2"/>
  <c r="N78" i="2"/>
  <c r="O78" i="2"/>
  <c r="P78" i="2"/>
  <c r="Q78" i="2"/>
  <c r="R78" i="2"/>
  <c r="S78" i="2"/>
  <c r="T78" i="2"/>
  <c r="K79" i="2"/>
  <c r="L79" i="2"/>
  <c r="M79" i="2"/>
  <c r="N79" i="2"/>
  <c r="O79" i="2"/>
  <c r="P79" i="2"/>
  <c r="Q79" i="2"/>
  <c r="R79" i="2"/>
  <c r="S79" i="2"/>
  <c r="T79" i="2"/>
  <c r="K81" i="2"/>
  <c r="L81" i="2"/>
  <c r="M81" i="2"/>
  <c r="N81" i="2"/>
  <c r="O81" i="2"/>
  <c r="P81" i="2"/>
  <c r="Q81" i="2"/>
  <c r="R81" i="2"/>
  <c r="S81" i="2"/>
  <c r="T81" i="2"/>
  <c r="K83" i="2"/>
  <c r="L83" i="2"/>
  <c r="M83" i="2"/>
  <c r="N83" i="2"/>
  <c r="O83" i="2"/>
  <c r="P83" i="2"/>
  <c r="Q83" i="2"/>
  <c r="R83" i="2"/>
  <c r="S83" i="2"/>
  <c r="T83" i="2"/>
  <c r="K94" i="2"/>
  <c r="L94" i="2"/>
  <c r="M94" i="2"/>
  <c r="N94" i="2"/>
  <c r="O94" i="2"/>
  <c r="P94" i="2"/>
  <c r="Q94" i="2"/>
  <c r="R94" i="2"/>
  <c r="S94" i="2"/>
  <c r="T94" i="2"/>
  <c r="K98" i="2"/>
  <c r="L98" i="2"/>
  <c r="M98" i="2"/>
  <c r="N98" i="2"/>
  <c r="O98" i="2"/>
  <c r="P98" i="2"/>
  <c r="Q98" i="2"/>
  <c r="R98" i="2"/>
  <c r="S98" i="2"/>
  <c r="T98" i="2"/>
  <c r="L108" i="2"/>
  <c r="M108" i="2"/>
  <c r="N108" i="2"/>
  <c r="O108" i="2"/>
  <c r="P108" i="2"/>
  <c r="Q108" i="2"/>
  <c r="R108" i="2"/>
  <c r="T108" i="2"/>
  <c r="L109" i="2"/>
  <c r="M109" i="2"/>
  <c r="N109" i="2"/>
  <c r="O109" i="2"/>
  <c r="P109" i="2"/>
  <c r="Q109" i="2"/>
  <c r="R109" i="2"/>
  <c r="T109" i="2"/>
  <c r="L114" i="2"/>
  <c r="M114" i="2"/>
  <c r="N114" i="2"/>
  <c r="O114" i="2"/>
  <c r="P114" i="2"/>
  <c r="Q114" i="2"/>
  <c r="R114" i="2"/>
  <c r="T114" i="2"/>
  <c r="L117" i="2"/>
  <c r="M117" i="2"/>
  <c r="N117" i="2"/>
  <c r="O117" i="2"/>
  <c r="P117" i="2"/>
  <c r="Q117" i="2"/>
  <c r="R117" i="2"/>
  <c r="S117" i="2"/>
  <c r="T117" i="2"/>
  <c r="K118" i="2"/>
  <c r="L118" i="2"/>
  <c r="M118" i="2"/>
  <c r="N118" i="2"/>
  <c r="O118" i="2"/>
  <c r="P118" i="2"/>
  <c r="Q118" i="2"/>
  <c r="R118" i="2"/>
  <c r="S118" i="2"/>
  <c r="T118" i="2"/>
  <c r="K119" i="2"/>
  <c r="L119" i="2"/>
  <c r="M119" i="2"/>
  <c r="N119" i="2"/>
  <c r="O119" i="2"/>
  <c r="P119" i="2"/>
  <c r="Q119" i="2"/>
  <c r="R119" i="2"/>
  <c r="S119" i="2"/>
  <c r="T119" i="2"/>
  <c r="L183" i="2"/>
  <c r="M183" i="2"/>
  <c r="N183" i="2"/>
  <c r="O183" i="2"/>
  <c r="P183" i="2"/>
  <c r="Q183" i="2"/>
  <c r="R183" i="2"/>
  <c r="S183" i="2"/>
  <c r="T183" i="2"/>
  <c r="L184" i="2"/>
  <c r="M184" i="2"/>
  <c r="N184" i="2"/>
  <c r="O184" i="2"/>
  <c r="P184" i="2"/>
  <c r="Q184" i="2"/>
  <c r="R184" i="2"/>
  <c r="S184" i="2"/>
  <c r="T184" i="2"/>
  <c r="L188" i="2"/>
  <c r="M188" i="2"/>
  <c r="N188" i="2"/>
  <c r="O188" i="2"/>
  <c r="P188" i="2"/>
  <c r="Q188" i="2"/>
  <c r="R188" i="2"/>
  <c r="S188" i="2"/>
  <c r="T188" i="2"/>
  <c r="M191" i="2"/>
  <c r="N191" i="2"/>
  <c r="O191" i="2"/>
  <c r="P191" i="2"/>
  <c r="Q191" i="2"/>
  <c r="R191" i="2"/>
  <c r="L192" i="2"/>
  <c r="M192" i="2"/>
  <c r="N192" i="2"/>
  <c r="O192" i="2"/>
  <c r="P192" i="2"/>
  <c r="Q192" i="2"/>
  <c r="R192" i="2"/>
  <c r="T192" i="2"/>
  <c r="L193" i="2"/>
  <c r="M193" i="2"/>
  <c r="N193" i="2"/>
  <c r="O193" i="2"/>
  <c r="P193" i="2"/>
  <c r="Q193" i="2"/>
  <c r="R193" i="2"/>
  <c r="T193" i="2"/>
  <c r="L198" i="2"/>
  <c r="M198" i="2"/>
  <c r="N198" i="2"/>
  <c r="O198" i="2"/>
  <c r="P198" i="2"/>
  <c r="Q198" i="2"/>
  <c r="R198" i="2"/>
  <c r="T198" i="2"/>
  <c r="M201" i="2"/>
  <c r="N201" i="2"/>
  <c r="O201" i="2"/>
  <c r="P201" i="2"/>
  <c r="Q201" i="2"/>
  <c r="R201" i="2"/>
  <c r="L202" i="2"/>
  <c r="M202" i="2"/>
  <c r="N202" i="2"/>
  <c r="O202" i="2"/>
  <c r="P202" i="2"/>
  <c r="Q202" i="2"/>
  <c r="R202" i="2"/>
  <c r="T202" i="2"/>
  <c r="L203" i="2"/>
  <c r="M203" i="2"/>
  <c r="N203" i="2"/>
  <c r="O203" i="2"/>
  <c r="P203" i="2"/>
  <c r="Q203" i="2"/>
  <c r="R203" i="2"/>
  <c r="T203" i="2"/>
  <c r="L206" i="2"/>
  <c r="T206" i="2"/>
  <c r="L208" i="2"/>
  <c r="M208" i="2"/>
  <c r="N208" i="2"/>
  <c r="O208" i="2"/>
  <c r="P208" i="2"/>
  <c r="Q208" i="2"/>
  <c r="R208" i="2"/>
  <c r="T208" i="2"/>
  <c r="L216" i="2"/>
  <c r="M216" i="2"/>
  <c r="N216" i="2"/>
  <c r="O216" i="2"/>
  <c r="P216" i="2"/>
  <c r="Q216" i="2"/>
  <c r="R216" i="2"/>
  <c r="T216" i="2"/>
  <c r="L217" i="2"/>
  <c r="M217" i="2"/>
  <c r="N217" i="2"/>
  <c r="O217" i="2"/>
  <c r="P217" i="2"/>
  <c r="Q217" i="2"/>
  <c r="R217" i="2"/>
  <c r="T217" i="2"/>
  <c r="M219" i="2"/>
  <c r="N219" i="2"/>
  <c r="O219" i="2"/>
  <c r="P219" i="2"/>
  <c r="Q219" i="2"/>
  <c r="R219" i="2"/>
  <c r="L221" i="2"/>
  <c r="M221" i="2"/>
  <c r="N221" i="2"/>
  <c r="O221" i="2"/>
  <c r="P221" i="2"/>
  <c r="Q221" i="2"/>
  <c r="R221" i="2"/>
  <c r="T221" i="2"/>
  <c r="L222" i="2"/>
  <c r="M222" i="2"/>
  <c r="N222" i="2"/>
  <c r="O222" i="2"/>
  <c r="P222" i="2"/>
  <c r="Q222" i="2"/>
  <c r="R222" i="2"/>
  <c r="T222" i="2"/>
  <c r="L227" i="2"/>
  <c r="M227" i="2"/>
  <c r="N227" i="2"/>
  <c r="O227" i="2"/>
  <c r="P227" i="2"/>
  <c r="Q227" i="2"/>
  <c r="R227" i="2"/>
  <c r="T227" i="2"/>
  <c r="L229" i="2"/>
  <c r="L235" i="2"/>
  <c r="M235" i="2"/>
  <c r="N235" i="2"/>
  <c r="O235" i="2"/>
  <c r="P235" i="2"/>
  <c r="Q235" i="2"/>
  <c r="R235" i="2"/>
  <c r="S235" i="2"/>
  <c r="T235" i="2"/>
  <c r="K236" i="2"/>
  <c r="L236" i="2"/>
  <c r="M236" i="2"/>
  <c r="N236" i="2"/>
  <c r="O236" i="2"/>
  <c r="P236" i="2"/>
  <c r="Q236" i="2"/>
  <c r="R236" i="2"/>
  <c r="S236" i="2"/>
  <c r="T236" i="2"/>
  <c r="K237" i="2"/>
  <c r="L237" i="2"/>
  <c r="M237" i="2"/>
  <c r="N237" i="2"/>
  <c r="O237" i="2"/>
  <c r="P237" i="2"/>
  <c r="Q237" i="2"/>
  <c r="R237" i="2"/>
  <c r="S237" i="2"/>
  <c r="T237" i="2"/>
  <c r="K240" i="2"/>
  <c r="L240" i="2"/>
  <c r="M240" i="2"/>
  <c r="N240" i="2"/>
  <c r="O240" i="2"/>
  <c r="P240" i="2"/>
  <c r="Q240" i="2"/>
  <c r="R240" i="2"/>
  <c r="S240" i="2"/>
  <c r="T240" i="2"/>
  <c r="L250" i="2"/>
  <c r="M250" i="2"/>
  <c r="N250" i="2"/>
  <c r="O250" i="2"/>
  <c r="P250" i="2"/>
  <c r="Q250" i="2"/>
  <c r="R250" i="2"/>
  <c r="T250" i="2"/>
  <c r="L251" i="2"/>
  <c r="M251" i="2"/>
  <c r="N251" i="2"/>
  <c r="O251" i="2"/>
  <c r="P251" i="2"/>
  <c r="Q251" i="2"/>
  <c r="R251" i="2"/>
  <c r="T251" i="2"/>
  <c r="L252" i="2"/>
  <c r="M252" i="2"/>
  <c r="N252" i="2"/>
  <c r="O252" i="2"/>
  <c r="P252" i="2"/>
  <c r="Q252" i="2"/>
  <c r="R252" i="2"/>
  <c r="T252" i="2"/>
  <c r="L256" i="2"/>
  <c r="M256" i="2"/>
  <c r="N256" i="2"/>
  <c r="O256" i="2"/>
  <c r="P256" i="2"/>
  <c r="Q256" i="2"/>
  <c r="R256" i="2"/>
  <c r="T256" i="2"/>
  <c r="L257" i="2"/>
  <c r="M257" i="2"/>
  <c r="N257" i="2"/>
  <c r="O257" i="2"/>
  <c r="P257" i="2"/>
  <c r="Q257" i="2"/>
  <c r="R257" i="2"/>
  <c r="T257" i="2"/>
  <c r="L258" i="2"/>
  <c r="M258" i="2"/>
  <c r="N258" i="2"/>
  <c r="O258" i="2"/>
  <c r="P258" i="2"/>
  <c r="Q258" i="2"/>
  <c r="R258" i="2"/>
  <c r="T258" i="2"/>
  <c r="L262" i="2"/>
  <c r="M262" i="2"/>
  <c r="N262" i="2"/>
  <c r="O262" i="2"/>
  <c r="P262" i="2"/>
  <c r="Q262" i="2"/>
  <c r="R262" i="2"/>
  <c r="T262" i="2"/>
  <c r="L263" i="2"/>
  <c r="M263" i="2"/>
  <c r="N263" i="2"/>
  <c r="O263" i="2"/>
  <c r="P263" i="2"/>
  <c r="Q263" i="2"/>
  <c r="R263" i="2"/>
  <c r="T263" i="2"/>
  <c r="K264" i="2"/>
  <c r="L264" i="2"/>
  <c r="M264" i="2"/>
  <c r="N264" i="2"/>
  <c r="O264" i="2"/>
  <c r="P264" i="2"/>
  <c r="Q264" i="2"/>
  <c r="R264" i="2"/>
  <c r="S264" i="2"/>
  <c r="T264" i="2"/>
  <c r="K265" i="2"/>
  <c r="L265" i="2"/>
  <c r="M265" i="2"/>
  <c r="N265" i="2"/>
  <c r="O265" i="2"/>
  <c r="P265" i="2"/>
  <c r="Q265" i="2"/>
  <c r="R265" i="2"/>
  <c r="S265" i="2"/>
  <c r="T265" i="2"/>
  <c r="M273" i="2"/>
  <c r="N273" i="2"/>
  <c r="O273" i="2"/>
  <c r="P273" i="2"/>
  <c r="Q273" i="2"/>
  <c r="R273" i="2"/>
  <c r="M275" i="2"/>
  <c r="N275" i="2"/>
  <c r="O275" i="2"/>
  <c r="P275" i="2"/>
  <c r="Q275" i="2"/>
  <c r="R275" i="2"/>
  <c r="M283" i="2"/>
  <c r="N283" i="2"/>
  <c r="O283" i="2"/>
  <c r="P283" i="2"/>
  <c r="Q283" i="2"/>
  <c r="R283" i="2"/>
  <c r="L284" i="2"/>
  <c r="M284" i="2"/>
  <c r="N284" i="2"/>
  <c r="O284" i="2"/>
  <c r="P284" i="2"/>
  <c r="Q284" i="2"/>
  <c r="R284" i="2"/>
  <c r="T284" i="2"/>
  <c r="L285" i="2"/>
  <c r="M285" i="2"/>
  <c r="N285" i="2"/>
  <c r="O285" i="2"/>
  <c r="P285" i="2"/>
  <c r="Q285" i="2"/>
  <c r="R285" i="2"/>
  <c r="T285" i="2"/>
  <c r="L300" i="2"/>
  <c r="M300" i="2"/>
  <c r="N300" i="2"/>
  <c r="O300" i="2"/>
  <c r="P300" i="2"/>
  <c r="Q300" i="2"/>
  <c r="R300" i="2"/>
  <c r="L301" i="2"/>
  <c r="M301" i="2"/>
  <c r="N301" i="2"/>
  <c r="O301" i="2"/>
  <c r="P301" i="2"/>
  <c r="Q301" i="2"/>
  <c r="R301" i="2"/>
  <c r="L302" i="2"/>
  <c r="M302" i="2"/>
  <c r="N302" i="2"/>
  <c r="O302" i="2"/>
  <c r="P302" i="2"/>
  <c r="Q302" i="2"/>
  <c r="R302" i="2"/>
  <c r="L306" i="2"/>
  <c r="M306" i="2"/>
  <c r="N306" i="2"/>
  <c r="O306" i="2"/>
  <c r="P306" i="2"/>
  <c r="Q306" i="2"/>
  <c r="R306" i="2"/>
  <c r="L307" i="2"/>
  <c r="M307" i="2"/>
  <c r="N307" i="2"/>
  <c r="O307" i="2"/>
  <c r="P307" i="2"/>
  <c r="Q307" i="2"/>
  <c r="R307" i="2"/>
  <c r="M309" i="2"/>
  <c r="N309" i="2"/>
  <c r="O309" i="2"/>
  <c r="P309" i="2"/>
  <c r="Q309" i="2"/>
  <c r="R309" i="2"/>
  <c r="L310" i="2"/>
  <c r="M310" i="2"/>
  <c r="N310" i="2"/>
  <c r="O310" i="2"/>
  <c r="P310" i="2"/>
  <c r="Q310" i="2"/>
  <c r="R310" i="2"/>
  <c r="F313" i="2"/>
  <c r="G313" i="2"/>
  <c r="R313" i="2"/>
  <c r="F314" i="2"/>
  <c r="G314" i="2"/>
  <c r="Q314" i="2"/>
  <c r="F315" i="2"/>
  <c r="G315" i="2"/>
  <c r="P315" i="2"/>
  <c r="F316" i="2"/>
  <c r="G316" i="2"/>
  <c r="O316" i="2"/>
  <c r="F317" i="2"/>
  <c r="G317" i="2"/>
  <c r="N317" i="2"/>
  <c r="F318" i="2"/>
  <c r="G318" i="2"/>
  <c r="M318" i="2"/>
  <c r="I27" i="13"/>
  <c r="O27" i="13"/>
  <c r="J37" i="13"/>
  <c r="K37" i="13"/>
  <c r="L37" i="13"/>
  <c r="M37" i="13"/>
  <c r="N37" i="13"/>
  <c r="O37" i="13"/>
  <c r="P37" i="13"/>
  <c r="J52" i="13"/>
  <c r="K52" i="13"/>
  <c r="L52" i="13"/>
  <c r="M52" i="13"/>
  <c r="N52" i="13"/>
  <c r="O52" i="13"/>
  <c r="P52" i="13"/>
  <c r="J54" i="13"/>
  <c r="K54" i="13"/>
  <c r="L54" i="13"/>
  <c r="M54" i="13"/>
  <c r="N54" i="13"/>
  <c r="O54" i="13"/>
  <c r="P54" i="13"/>
  <c r="J55" i="13"/>
  <c r="K55" i="13"/>
  <c r="L55" i="13"/>
  <c r="M55" i="13"/>
  <c r="N55" i="13"/>
  <c r="O55" i="13"/>
  <c r="P55" i="13"/>
  <c r="J56" i="13"/>
  <c r="K56" i="13"/>
  <c r="L56" i="13"/>
  <c r="M56" i="13"/>
  <c r="N56" i="13"/>
  <c r="O56" i="13"/>
  <c r="P56" i="13"/>
  <c r="J58" i="13"/>
  <c r="K58" i="13"/>
  <c r="L58" i="13"/>
  <c r="M58" i="13"/>
  <c r="N58" i="13"/>
  <c r="O58" i="13"/>
  <c r="P58" i="13"/>
  <c r="J59" i="13"/>
  <c r="K59" i="13"/>
  <c r="L59" i="13"/>
  <c r="M59" i="13"/>
  <c r="N59" i="13"/>
  <c r="O59" i="13"/>
  <c r="P59" i="13"/>
  <c r="J60" i="13"/>
  <c r="K60" i="13"/>
  <c r="L60" i="13"/>
  <c r="M60" i="13"/>
  <c r="N60" i="13"/>
  <c r="O60" i="13"/>
  <c r="P60" i="13"/>
  <c r="R101" i="13"/>
  <c r="S101" i="13"/>
  <c r="E102" i="13"/>
  <c r="F102" i="13"/>
  <c r="R102" i="13"/>
  <c r="S102" i="13"/>
  <c r="R103" i="13"/>
  <c r="S103" i="13"/>
  <c r="R104" i="13"/>
  <c r="S104" i="13"/>
  <c r="R105" i="13"/>
  <c r="S105" i="13"/>
  <c r="R106" i="13"/>
  <c r="S106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Tejjas Kumar</author>
  </authors>
  <commentList>
    <comment ref="Q4" authorId="0" shapeId="0" xr:uid="{A92B0938-1DAB-4E14-BCB0-3FB6B3F8510D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Model is fragile, we would encourage keeping iterative calculations enabled and making a copy if you wish to edit anything.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Tejjas Kumar</author>
  </authors>
  <commentList>
    <comment ref="J33" authorId="0" shapeId="0" xr:uid="{FD450973-3D60-495A-AB79-51A690A0DA3C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Stub Period Post Acquisition
</t>
        </r>
      </text>
    </comment>
    <comment ref="C100" authorId="0" shapeId="0" xr:uid="{34FE328A-AE11-4505-B515-71BFA01BCE16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6 Year Horizon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Tejjas Kumar</author>
  </authors>
  <commentList>
    <comment ref="E12" authorId="0" shapeId="0" xr:uid="{67D16363-76AC-4E0A-83CC-58541DDA63CA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% of Equity Offer Value rolled-over by management</t>
        </r>
      </text>
    </comment>
    <comment ref="L22" authorId="0" shapeId="0" xr:uid="{2809EC89-F551-4A36-9140-DB77299A0197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% of Refinanced Debt, All debt excl leases
</t>
        </r>
      </text>
    </comment>
    <comment ref="L24" authorId="0" shapeId="0" xr:uid="{8ED6D2E5-5158-4891-892E-D5DA9A750FF3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% of Implied Enterprise Value Offer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Tejjas Kumar</author>
    <author>Kunarodzhvimute,D (ug)</author>
  </authors>
  <commentList>
    <comment ref="B13" authorId="0" shapeId="0" xr:uid="{93CF7B87-D18E-49F8-B3A3-BED28C96CB0E}">
      <text>
        <r>
          <rPr>
            <b/>
            <sz val="9"/>
            <color indexed="81"/>
            <rFont val="Tahoma"/>
            <charset val="1"/>
          </rPr>
          <t>Tejjas Kumar:</t>
        </r>
        <r>
          <rPr>
            <sz val="9"/>
            <color indexed="81"/>
            <rFont val="Tahoma"/>
            <charset val="1"/>
          </rPr>
          <t xml:space="preserve">
We use revenue retention rate as a proxy</t>
        </r>
      </text>
    </comment>
    <comment ref="B15" authorId="0" shapeId="0" xr:uid="{8625803F-4E32-40AE-ADF4-45A1CFD8C5A5}">
      <text>
        <r>
          <rPr>
            <b/>
            <sz val="9"/>
            <color indexed="81"/>
            <rFont val="Tahoma"/>
            <charset val="1"/>
          </rPr>
          <t>Tejjas Kumar:</t>
        </r>
        <r>
          <rPr>
            <sz val="9"/>
            <color indexed="81"/>
            <rFont val="Tahoma"/>
            <charset val="1"/>
          </rPr>
          <t xml:space="preserve">
We use the increase in recurring revenue per customer as a proxy</t>
        </r>
      </text>
    </comment>
    <comment ref="R17" authorId="1" shapeId="0" xr:uid="{5E462CF2-18F1-40FC-9BE3-468AD355534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rationale for decrease in growth rate: cannot keep growing indefinitely due to saturation of 'module attach' </t>
        </r>
      </text>
    </comment>
    <comment ref="R39" authorId="1" shapeId="0" xr:uid="{17BA401C-A9EA-477D-A9D3-DCA29C47700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assume growth in Avg. Funds per Customer largely due to inflation</t>
        </r>
      </text>
    </comment>
    <comment ref="B44" authorId="1" shapeId="0" xr:uid="{7B742671-9BCF-483C-A2D1-B1269FB0F6C0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bull case assumes a decrease in IR ---&gt; decrease in effective yield as: an increase in IR drives demand for software updates &amp; business CapEx --&gt; more sales for Dayforce</t>
        </r>
      </text>
    </comment>
    <comment ref="N65" authorId="1" shapeId="0" xr:uid="{77FD3846-25C0-433D-9BF0-08AA8FE3F659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development of new AI modules in the first 3 years of the period -&gt; higher product dev costs</t>
        </r>
      </text>
    </comment>
    <comment ref="B68" authorId="1" shapeId="0" xr:uid="{C0611C39-A5D3-4E58-90CD-2E2F511F1E6D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Bull &amp; Bear the same as: a) Bull scenario assumes more customer acquisition; b) bear scenario assumes more spend on customer relationship maintenance</t>
        </r>
      </text>
    </comment>
    <comment ref="B73" authorId="1" shapeId="0" xr:uid="{5D5E3B22-7EBB-4BA1-951B-F2D2CEB221CC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assume significant improvement due to removals of overheads associated with being a public company, AI-related efficiencies and continued scaling of operations</t>
        </r>
      </text>
    </comment>
    <comment ref="B91" authorId="1" shapeId="0" xr:uid="{06C47ED1-FD19-4F3B-8DE3-FD1768BE9651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D&amp;A is driven by the asset base supporting both subscriptions and services, not just recurring contracts.</t>
        </r>
      </text>
    </comment>
    <comment ref="N102" authorId="1" shapeId="0" xr:uid="{BEF85A8F-8106-4F4E-9C0E-42F2C178E550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peaks due to a need for AI infra build out + services roll out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  <author>Tejjas Kumar</author>
    <author>Kumar4,T (ug)</author>
  </authors>
  <commentList>
    <comment ref="B19" authorId="0" shapeId="0" xr:uid="{BC3D99BA-6148-4D6C-B9A9-CD458C4A529C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avg revenue increase applied to customers that remain</t>
        </r>
      </text>
    </comment>
    <comment ref="B21" authorId="1" shapeId="0" xr:uid="{F0C3BDDB-EC75-4ABC-880A-B7C33A11B12B}">
      <text>
        <r>
          <rPr>
            <b/>
            <sz val="9"/>
            <color indexed="81"/>
            <rFont val="Tahoma"/>
            <charset val="1"/>
          </rPr>
          <t>Tejjas Kumar:</t>
        </r>
        <r>
          <rPr>
            <sz val="9"/>
            <color indexed="81"/>
            <rFont val="Tahoma"/>
            <charset val="1"/>
          </rPr>
          <t xml:space="preserve">
Average ARPU over period * Number of customer cancellations</t>
        </r>
      </text>
    </comment>
    <comment ref="J23" authorId="1" shapeId="0" xr:uid="{98164F9C-99D4-4D30-BABE-F877A8BF7188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Reconciled with historical I/S Figure by reverse solving for new customer differences (actual figures depend on exact timing of new customer additions)
</t>
        </r>
      </text>
    </comment>
    <comment ref="B36" authorId="0" shapeId="0" xr:uid="{F01F1049-A249-49C7-A709-D2704CDFD6F6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Recurring revenue excl float / customer count for the year end; </t>
        </r>
      </text>
    </comment>
    <comment ref="C36" authorId="2" shapeId="0" xr:uid="{75BABA3E-7044-4B0D-B5B8-A23A46A644C0}">
      <text>
        <r>
          <rPr>
            <b/>
            <sz val="9"/>
            <color indexed="81"/>
            <rFont val="Tahoma"/>
            <family val="2"/>
          </rPr>
          <t>Kumar4,T (ug):</t>
        </r>
        <r>
          <rPr>
            <sz val="9"/>
            <color indexed="81"/>
            <rFont val="Tahoma"/>
            <family val="2"/>
          </rPr>
          <t xml:space="preserve">
We calculate this as all recurring revenue streams including Dayforce, Powerpay, and Cloud Solutions, all excluding float, Divided by historical ending customer count (for historicals)</t>
        </r>
      </text>
    </comment>
    <comment ref="B40" authorId="0" shapeId="0" xr:uid="{901C2C7D-C692-4D2E-A369-7C988281A204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10K for 2022/21: has Dayforce, Powerpay &amp; Bureau float; BUT: no bureau float past 2022</t>
        </r>
      </text>
    </comment>
    <comment ref="B41" authorId="0" shapeId="0" xr:uid="{E322578B-5FD1-4435-9EDE-A13829D4C445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float balance for customer funds
</t>
        </r>
      </text>
    </comment>
    <comment ref="C70" authorId="1" shapeId="0" xr:uid="{9B37FC19-2FCB-47A2-BF38-419CAAE59663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We have D&amp;A embedded in S&amp;M, G&amp;A, COS, therefore we simply reconcile towards the end
</t>
        </r>
      </text>
    </comment>
    <comment ref="B73" authorId="1" shapeId="0" xr:uid="{2266861A-C778-4E01-8644-A177A4E5CF3C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Reconciled from CFS
</t>
        </r>
      </text>
    </comment>
    <comment ref="K76" authorId="0" shapeId="0" xr:uid="{ED82A4DE-17F9-4AA6-9151-61ECEF12F422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a sudden jump in EBIT (and to a lesser extent) EBITDA margins is due to: switch to our own calculations vs. GAAP reported numbers</t>
        </r>
      </text>
    </comment>
    <comment ref="T85" authorId="1" shapeId="0" xr:uid="{15011C98-018F-46FB-AB81-642080E7C3E6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Only include stub amount </t>
        </r>
      </text>
    </comment>
    <comment ref="T171" authorId="1" shapeId="0" xr:uid="{F6CC2B97-A1F1-464B-9F9B-5B4996143775}">
      <text>
        <r>
          <rPr>
            <b/>
            <sz val="9"/>
            <color indexed="81"/>
            <rFont val="Tahoma"/>
            <family val="2"/>
          </rPr>
          <t>Tejjas Kumar:</t>
        </r>
        <r>
          <rPr>
            <sz val="9"/>
            <color indexed="81"/>
            <rFont val="Tahoma"/>
            <family val="2"/>
          </rPr>
          <t xml:space="preserve">
Repaid immediately at end of Q1 2026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Kunarodzhvimute,D (ug)</author>
  </authors>
  <commentList>
    <comment ref="M30" authorId="0" shapeId="0" xr:uid="{53F85A96-32FC-4A9B-8B26-7B89B6B7A7CB}">
      <text>
        <r>
          <rPr>
            <b/>
            <sz val="9"/>
            <color indexed="81"/>
            <rFont val="Tahoma"/>
            <family val="2"/>
          </rPr>
          <t>Kunarodzhvimute,D (ug):</t>
        </r>
        <r>
          <rPr>
            <sz val="9"/>
            <color indexed="81"/>
            <rFont val="Tahoma"/>
            <family val="2"/>
          </rPr>
          <t xml:space="preserve">
data from Statista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<sst xmlns="http://schemas.openxmlformats.org/spreadsheetml/2006/main" count="1326" uniqueCount="603">
  <si>
    <t>Purchase Price</t>
  </si>
  <si>
    <t>Sources and Uses of Cash</t>
  </si>
  <si>
    <t>All figures in $USD mn, except on a per share basis</t>
  </si>
  <si>
    <t>EBITDA Multiples</t>
  </si>
  <si>
    <t>Sources</t>
  </si>
  <si>
    <t xml:space="preserve">Multiple </t>
  </si>
  <si>
    <t>Amount</t>
  </si>
  <si>
    <t>Uses</t>
  </si>
  <si>
    <t>Entry EV / EBITDA</t>
  </si>
  <si>
    <t xml:space="preserve">Revolving Credit Facility </t>
  </si>
  <si>
    <t>Equity Offer Value</t>
  </si>
  <si>
    <t>Exit EV / EBITDA</t>
  </si>
  <si>
    <t xml:space="preserve">Term Loan </t>
  </si>
  <si>
    <t>Debt Refinancing</t>
  </si>
  <si>
    <t>EBITDA</t>
  </si>
  <si>
    <t>Sponsor Contribution (Thoma Bravo)</t>
  </si>
  <si>
    <t>Fees</t>
  </si>
  <si>
    <t>ADIA Minority Investment</t>
  </si>
  <si>
    <t>Total Uses</t>
  </si>
  <si>
    <t>Enterprise and Equity Offer Value</t>
  </si>
  <si>
    <t>Management Rollover</t>
  </si>
  <si>
    <t>Total Sources</t>
  </si>
  <si>
    <t>Net Debt</t>
  </si>
  <si>
    <t>Implied Enterprise Value</t>
  </si>
  <si>
    <t>Shares Outstanding (million)</t>
  </si>
  <si>
    <t>Proportion of Leverage</t>
  </si>
  <si>
    <t>Price Per Share Offer</t>
  </si>
  <si>
    <t>Unaffected Share Price</t>
  </si>
  <si>
    <t>Premium / (Discount)</t>
  </si>
  <si>
    <t>Equity Investment</t>
  </si>
  <si>
    <t>Internal Rate of Return (IRR)</t>
  </si>
  <si>
    <t>Multiple of Invested Capital (MOIC)</t>
  </si>
  <si>
    <t>Credit Metrics</t>
  </si>
  <si>
    <t>Financial Projections</t>
  </si>
  <si>
    <t>Revenue</t>
  </si>
  <si>
    <t>EBIT</t>
  </si>
  <si>
    <t>Cash Taxes</t>
  </si>
  <si>
    <t>CapEx &amp; Software Development Costs</t>
  </si>
  <si>
    <t>CapEx &amp; Software Development Costs, % of Revenue</t>
  </si>
  <si>
    <t>EBIT Margin (% of Revenue)</t>
  </si>
  <si>
    <t>EBITDA Margin (% of Revenue)</t>
  </si>
  <si>
    <t>Share-Based Compensation (Total)</t>
  </si>
  <si>
    <t>Margin (% of Revenue)</t>
  </si>
  <si>
    <t>Recurring Revenue (excl. float)</t>
  </si>
  <si>
    <t xml:space="preserve">Ending ARPU </t>
  </si>
  <si>
    <t>Client Count</t>
  </si>
  <si>
    <t>Float Revenue</t>
  </si>
  <si>
    <t>Net Interest Expense</t>
  </si>
  <si>
    <t>Total Mandatory Principal Repayments (+)</t>
  </si>
  <si>
    <t>Total Debt</t>
  </si>
  <si>
    <t>Cash</t>
  </si>
  <si>
    <t>Total Debt/EBITDA</t>
  </si>
  <si>
    <t>Debt Service Coverage Ratio</t>
  </si>
  <si>
    <t>&lt;- a declining interest expense allows for a faster debt paydown</t>
  </si>
  <si>
    <t>Interest Coverage Ratio</t>
  </si>
  <si>
    <t>Deleveraging ($mn)</t>
  </si>
  <si>
    <t xml:space="preserve">ARPU &amp; Client Growth </t>
  </si>
  <si>
    <t>AI-Driven EBITDA Growth &amp; Margin Expansion</t>
  </si>
  <si>
    <t>Recurring Revenue Growth</t>
  </si>
  <si>
    <t>Equity Returns by Investment Horizon</t>
  </si>
  <si>
    <t>Share-Based Compensation, Margin &amp; Total</t>
  </si>
  <si>
    <t>Client Count &amp; Float Revenue</t>
  </si>
  <si>
    <t>Return Analysis</t>
  </si>
  <si>
    <t>IRR and MOIC (Exit Multiple)</t>
  </si>
  <si>
    <t>Investor Returns</t>
  </si>
  <si>
    <t>IRR</t>
  </si>
  <si>
    <t>MOIC</t>
  </si>
  <si>
    <t>Exit Multiple</t>
  </si>
  <si>
    <t>Year 1</t>
  </si>
  <si>
    <t>Year 2</t>
  </si>
  <si>
    <t>Year 3</t>
  </si>
  <si>
    <t>Year 4</t>
  </si>
  <si>
    <t>Year 5</t>
  </si>
  <si>
    <t>Year 6</t>
  </si>
  <si>
    <t>Multiple</t>
  </si>
  <si>
    <t>Entry EV / EBITDA (Implied)</t>
  </si>
  <si>
    <t>Term Loan</t>
  </si>
  <si>
    <t>% remaining</t>
  </si>
  <si>
    <t>Assume Entry mult = Exit mult</t>
  </si>
  <si>
    <t xml:space="preserve">ADIA Minority Investment </t>
  </si>
  <si>
    <t>https://www.reuters.com/legal/transactional/dayforce-go-private-123-billion-thoma-bravo-acquisition-2025-08-21/</t>
  </si>
  <si>
    <t>Equity % Used</t>
  </si>
  <si>
    <t>Debt % Used</t>
  </si>
  <si>
    <t>Check</t>
  </si>
  <si>
    <t>Cash &amp; Equivalents</t>
  </si>
  <si>
    <t>LT Debt (Incl. Current Portion)</t>
  </si>
  <si>
    <t>Leases (Incl. Current Portion)</t>
  </si>
  <si>
    <t>Other Inputs</t>
  </si>
  <si>
    <t xml:space="preserve">Implied Enterprise Value Offer </t>
  </si>
  <si>
    <t>General Inputs</t>
  </si>
  <si>
    <t>%</t>
  </si>
  <si>
    <t>$mn</t>
  </si>
  <si>
    <t>Year Fraction</t>
  </si>
  <si>
    <t>Fully Diluted Shares Outstanding (mn)</t>
  </si>
  <si>
    <t>First Forecast Fiscal Year (Model)</t>
  </si>
  <si>
    <t>Debt Restructuring</t>
  </si>
  <si>
    <t>Share Price Offer</t>
  </si>
  <si>
    <t xml:space="preserve">Fiscal Year End </t>
  </si>
  <si>
    <t>Debt Financing</t>
  </si>
  <si>
    <t>Transaction Close Date</t>
  </si>
  <si>
    <t>Advisory / Closing Fees</t>
  </si>
  <si>
    <t>First Year of Forecast (Deal)</t>
  </si>
  <si>
    <t>Total Fees</t>
  </si>
  <si>
    <t>Days in Period</t>
  </si>
  <si>
    <t>Minimum Cash Balance</t>
  </si>
  <si>
    <t>Effective Tax Rate</t>
  </si>
  <si>
    <t>Financing Assumptions</t>
  </si>
  <si>
    <t xml:space="preserve">Loan </t>
  </si>
  <si>
    <t>Issuance</t>
  </si>
  <si>
    <t>Standby</t>
  </si>
  <si>
    <t xml:space="preserve">SOFR </t>
  </si>
  <si>
    <t>Type of Financing</t>
  </si>
  <si>
    <t>Percent</t>
  </si>
  <si>
    <t>Limit</t>
  </si>
  <si>
    <t>Amortisation</t>
  </si>
  <si>
    <t>Fee %</t>
  </si>
  <si>
    <t>Fee</t>
  </si>
  <si>
    <t>Spread</t>
  </si>
  <si>
    <t>Sweep</t>
  </si>
  <si>
    <t>N/A</t>
  </si>
  <si>
    <t>(x)</t>
  </si>
  <si>
    <t>Model Operating Drivers</t>
  </si>
  <si>
    <t>Driver Switch</t>
  </si>
  <si>
    <t>Base</t>
  </si>
  <si>
    <t xml:space="preserve">Drivers: Recurring Subscription Revenue (excl float) </t>
  </si>
  <si>
    <t>Recurring Subscription Revenue (excl. float)</t>
  </si>
  <si>
    <t>Growth Rate</t>
  </si>
  <si>
    <t>Churn Rate (% of existing customers)</t>
  </si>
  <si>
    <t>Upsells &amp; Price Increases (% of ARPU)</t>
  </si>
  <si>
    <t>Bull</t>
  </si>
  <si>
    <t>Bear</t>
  </si>
  <si>
    <t>BOP Customers</t>
  </si>
  <si>
    <t>New Customers (Total Amount)</t>
  </si>
  <si>
    <t>Growth Rate (%)</t>
  </si>
  <si>
    <t>EOP Customer</t>
  </si>
  <si>
    <t>Average Revenue per Customer ($1000s)</t>
  </si>
  <si>
    <t xml:space="preserve">Drivers: Float and Wallet Revenue </t>
  </si>
  <si>
    <t xml:space="preserve">Float and Wallet Revenue </t>
  </si>
  <si>
    <t>Average Funds per Customer ($million)</t>
  </si>
  <si>
    <t>Effective Yield, %</t>
  </si>
  <si>
    <t>Drivers: Professional Services and Other Revenue</t>
  </si>
  <si>
    <t>Attachment Rate (% of Recurring excl. float)</t>
  </si>
  <si>
    <t>Cost Driver Assumptions</t>
  </si>
  <si>
    <t>Cost of Recurring Revenue (% of Recurring Revenue excl. float)</t>
  </si>
  <si>
    <t>Cost of Professional Services and Other Revenue (% of Professionals Revenue)</t>
  </si>
  <si>
    <t>Product Development &amp; Management (% of Recurring Revenue excl. float)</t>
  </si>
  <si>
    <t>Selling &amp; Marketing (% of Recurring Revenue excl. float)</t>
  </si>
  <si>
    <t>General &amp; Administrative (% of Recurring Revenue excl. float)</t>
  </si>
  <si>
    <t>Share(Equity)-Based Compensation (% of Revenue)</t>
  </si>
  <si>
    <t>Working Capital</t>
  </si>
  <si>
    <t>Accounts Receivable</t>
  </si>
  <si>
    <t>(days)</t>
  </si>
  <si>
    <t>Prepaid Expenses &amp; Other Current Assets</t>
  </si>
  <si>
    <t>(% of Total Cost of Revenue)</t>
  </si>
  <si>
    <t>Deferred Sales Commissions</t>
  </si>
  <si>
    <t>(% of Recurring Revenue excl. Float)</t>
  </si>
  <si>
    <t>Accounts Payable</t>
  </si>
  <si>
    <t>Accrued Expenses</t>
  </si>
  <si>
    <t>Deferred Revenue</t>
  </si>
  <si>
    <t>Depreciation and Amortisation (% of Total Revenue)</t>
  </si>
  <si>
    <t>Cost of Revenue D&amp;A (% of Total D&amp;A)</t>
  </si>
  <si>
    <t>CapEx, Software and Technology Development Cost Assumptions</t>
  </si>
  <si>
    <t>PPE CapEx (% of Recurring Revenue excl. float)</t>
  </si>
  <si>
    <t>Software &amp; Technology Development Costs (% of Recurring Revenue excl. float)</t>
  </si>
  <si>
    <t>Financing Assumptions &amp; Drivers</t>
  </si>
  <si>
    <t>Secured Overnight Financing Rate (SOFR)</t>
  </si>
  <si>
    <t>Revolving Credit Facility</t>
  </si>
  <si>
    <t>Spread over SOFR (bps)</t>
  </si>
  <si>
    <t>Forecast Period</t>
  </si>
  <si>
    <t>Stub Period</t>
  </si>
  <si>
    <t xml:space="preserve">End of Period </t>
  </si>
  <si>
    <t xml:space="preserve">Fraction of Year </t>
  </si>
  <si>
    <t>Revenue Schedule</t>
  </si>
  <si>
    <t xml:space="preserve">Revenue </t>
  </si>
  <si>
    <t>Growth Rate, %</t>
  </si>
  <si>
    <t>by Revenue Type</t>
  </si>
  <si>
    <t>Beginning Dayforce Recurring Subscription Revenue (excl. float)</t>
  </si>
  <si>
    <t>Existing Customer Revenue</t>
  </si>
  <si>
    <t>Upsells &amp; Price Increases</t>
  </si>
  <si>
    <t>New Customer Revenue</t>
  </si>
  <si>
    <t>Churned Revenue</t>
  </si>
  <si>
    <t>Ending Dayforce Recurring Subscription Revenue (excl. float)</t>
  </si>
  <si>
    <t>Beginning Customers</t>
  </si>
  <si>
    <t xml:space="preserve">New Customer Adds </t>
  </si>
  <si>
    <t>Customer Cancellations</t>
  </si>
  <si>
    <t>Ending Customers for the Period</t>
  </si>
  <si>
    <t>Average Customers for the Period</t>
  </si>
  <si>
    <t>Annual Dayforce Revenue Retention rate</t>
  </si>
  <si>
    <t>Beginning Average Revenue Per Customer (ARPU), $</t>
  </si>
  <si>
    <t>Increase in ARPU</t>
  </si>
  <si>
    <t>Ending Average Revenue Per Customer (ARPU), $</t>
  </si>
  <si>
    <t>Average Float Balance for the Period</t>
  </si>
  <si>
    <t>Average Funds per Customer</t>
  </si>
  <si>
    <t xml:space="preserve">Professional Services and Other Revenue </t>
  </si>
  <si>
    <t>Income Statement</t>
  </si>
  <si>
    <t>Total Revenue</t>
  </si>
  <si>
    <t>Total Recurring Revenue</t>
  </si>
  <si>
    <t>Recurring (excl. Float)</t>
  </si>
  <si>
    <t>Float Recurring</t>
  </si>
  <si>
    <t>Professional Services &amp; Other</t>
  </si>
  <si>
    <t>Total Cost of Revenue (COGS)</t>
  </si>
  <si>
    <t>Cost of Recurring Revenue</t>
  </si>
  <si>
    <t>Cost of Professional Services &amp; Other</t>
  </si>
  <si>
    <t>Product Development &amp; Mgmt</t>
  </si>
  <si>
    <t>Depreciation &amp; Amortisation</t>
  </si>
  <si>
    <t xml:space="preserve">Gross Profit </t>
  </si>
  <si>
    <t>Gross Profit Margin</t>
  </si>
  <si>
    <t>Selling &amp; Marketing</t>
  </si>
  <si>
    <t>General and Administrative</t>
  </si>
  <si>
    <t>Total D&amp;A</t>
  </si>
  <si>
    <t>Operating Income (EBIT)</t>
  </si>
  <si>
    <t>EBIT Margin</t>
  </si>
  <si>
    <t>&lt;- fixed it up a bit , but one weird thing: a massive jump in EBIT (also EBITDA margins) from 2024 into 2025</t>
  </si>
  <si>
    <t>Net Interest &amp; Other Expense</t>
  </si>
  <si>
    <t xml:space="preserve">EBT </t>
  </si>
  <si>
    <t>Income Tax Expense</t>
  </si>
  <si>
    <t>Other Unusual Expenses</t>
  </si>
  <si>
    <t>Net Income</t>
  </si>
  <si>
    <t>Share(Equity)-Based Compensation</t>
  </si>
  <si>
    <t>Adj. EBITDA</t>
  </si>
  <si>
    <t>EBITDA Margin</t>
  </si>
  <si>
    <t>Cash Flow Schedule</t>
  </si>
  <si>
    <t>Cash from Operations</t>
  </si>
  <si>
    <t>Cash Impact from NWC</t>
  </si>
  <si>
    <t xml:space="preserve">Depreciation &amp; Amortisation </t>
  </si>
  <si>
    <t xml:space="preserve">Share(Equity)-Based Compensation </t>
  </si>
  <si>
    <t>Net Cash from Operations</t>
  </si>
  <si>
    <t>Cash from Investing</t>
  </si>
  <si>
    <t>PPE CapEx</t>
  </si>
  <si>
    <t>Software &amp; Technology Development Costs</t>
  </si>
  <si>
    <t>Net Cash from Investing</t>
  </si>
  <si>
    <t>Cash from Financing</t>
  </si>
  <si>
    <t>Existing Debt Issuance / (Repayment)</t>
  </si>
  <si>
    <t>Existing Acquisition-Related Equity (Purchase)</t>
  </si>
  <si>
    <t>Revolving Credit Line Issuance / (Repayment)</t>
  </si>
  <si>
    <t>Term Loan Issuance / (Repayment)</t>
  </si>
  <si>
    <t>Sponsor (TB) Equity Contribution</t>
  </si>
  <si>
    <t>ADIA Equity Contribution</t>
  </si>
  <si>
    <t>Financing Fees</t>
  </si>
  <si>
    <t>Net Cash from Financing</t>
  </si>
  <si>
    <t>Cash Balance</t>
  </si>
  <si>
    <t>BOP Cash Balance</t>
  </si>
  <si>
    <t>Net Change in Cash</t>
  </si>
  <si>
    <t>EOP Cash Balance</t>
  </si>
  <si>
    <t>CapEx, Software and Technology Development Cost Schedule</t>
  </si>
  <si>
    <t>Recurring Revenue</t>
  </si>
  <si>
    <t xml:space="preserve">PPE CapEx </t>
  </si>
  <si>
    <t>Total CapEx, Software and Technology Development Cost</t>
  </si>
  <si>
    <t>Working Capital Schedule</t>
  </si>
  <si>
    <t>Days In Period</t>
  </si>
  <si>
    <t>Recurring Revenue excl. Float</t>
  </si>
  <si>
    <t>Total Cost of Revenue</t>
  </si>
  <si>
    <t>Total Amounts</t>
  </si>
  <si>
    <t>Deferred Revenue (Current Portion)</t>
  </si>
  <si>
    <t xml:space="preserve">Current Assets </t>
  </si>
  <si>
    <t>Current Liabilities</t>
  </si>
  <si>
    <t>Net Working Capital</t>
  </si>
  <si>
    <t>Debt Schedule: Part 1 (Pre-Acquisition Debt)</t>
  </si>
  <si>
    <t>Existing Debt</t>
  </si>
  <si>
    <t>BOP Total Debt Balance</t>
  </si>
  <si>
    <t>2025 Starting Balance</t>
  </si>
  <si>
    <t>Issuance / (Repayment)</t>
  </si>
  <si>
    <t>Q3 2025 Balance</t>
  </si>
  <si>
    <t>EOP Total Debt Balance</t>
  </si>
  <si>
    <t>Extrapolated Q4</t>
  </si>
  <si>
    <t>Interest Rate</t>
  </si>
  <si>
    <t>Interest Expense</t>
  </si>
  <si>
    <t>Debt Schedule: Part 2 (Revolving Credit Facility)</t>
  </si>
  <si>
    <t xml:space="preserve">Opening Cash Balance </t>
  </si>
  <si>
    <t>Mandatory Debt Issuance / (Repayment)</t>
  </si>
  <si>
    <t>Cash Available / (Required) for Revolving Credit Line</t>
  </si>
  <si>
    <t>Revolving Credit Facility (Drawn)</t>
  </si>
  <si>
    <t>Beginning</t>
  </si>
  <si>
    <t>Additions / (Repayments)</t>
  </si>
  <si>
    <t>Ending</t>
  </si>
  <si>
    <t>Amount Drawn Exceeds Maximum?</t>
  </si>
  <si>
    <t>Revolving Credit Facility (Undrawn)</t>
  </si>
  <si>
    <t>(Additions) / Repayments</t>
  </si>
  <si>
    <t>Revolving Credit Line Standby Fee Rate</t>
  </si>
  <si>
    <t>Revolving Credit Line Standby Fees</t>
  </si>
  <si>
    <t>Cash Available After Revolving Credit Line Pay Down</t>
  </si>
  <si>
    <t>Debt Schedule: Part 3 (Term Loan)</t>
  </si>
  <si>
    <t>Loan Amortisation</t>
  </si>
  <si>
    <t>Cash Available After Revolving Credit Facility Pay Down</t>
  </si>
  <si>
    <t>Cash Available for Discretionary Repayments?</t>
  </si>
  <si>
    <t>Beginning Balance</t>
  </si>
  <si>
    <t>Mandatory Repayments</t>
  </si>
  <si>
    <t>Cash Sweep</t>
  </si>
  <si>
    <t>Discretionary Repayments</t>
  </si>
  <si>
    <t>Ending Balance</t>
  </si>
  <si>
    <t>Term Loan Issuance Fee</t>
  </si>
  <si>
    <t>Cash after Term Loan Paydown</t>
  </si>
  <si>
    <t>Debt Schedule: Part 4: Cash and Interest Schedule (Non - Float)</t>
  </si>
  <si>
    <t>Starting Cash Balance</t>
  </si>
  <si>
    <t>Change in Cash</t>
  </si>
  <si>
    <t>Ending Cash Balance</t>
  </si>
  <si>
    <t>Interest Rate on Cash</t>
  </si>
  <si>
    <t>Interest and Investment Income</t>
  </si>
  <si>
    <t>Debt Schedule Summary</t>
  </si>
  <si>
    <t>Principal Issuance / (Repayments)</t>
  </si>
  <si>
    <t>Existing Debt (ST &amp; LT)</t>
  </si>
  <si>
    <t>Total Principal Issuance / (Repayments)</t>
  </si>
  <si>
    <t>Ending Balances</t>
  </si>
  <si>
    <t>Total Ending Debt Balance</t>
  </si>
  <si>
    <t>Cash Interest Expense / (Income)</t>
  </si>
  <si>
    <t>Interest &amp; Investment Income</t>
  </si>
  <si>
    <t>Total Net Interest Expense</t>
  </si>
  <si>
    <t>Equity Schedule</t>
  </si>
  <si>
    <t>SBC-Related Equity Dilution</t>
  </si>
  <si>
    <t>Equity Value at Acquisition</t>
  </si>
  <si>
    <t>Index (Ownership by Initial Investors)</t>
  </si>
  <si>
    <t>Equity Capital</t>
  </si>
  <si>
    <t>BOP Balance</t>
  </si>
  <si>
    <t>Equity Issuance / (Repurchase)</t>
  </si>
  <si>
    <t>EOP Balance</t>
  </si>
  <si>
    <t>Retained Earnings</t>
  </si>
  <si>
    <t>Equity Returns Schedule</t>
  </si>
  <si>
    <t>Close</t>
  </si>
  <si>
    <t>Forecast Fiscal Year End</t>
  </si>
  <si>
    <t>Enterprise Value</t>
  </si>
  <si>
    <t>Total Net Debt</t>
  </si>
  <si>
    <t>Equity Value</t>
  </si>
  <si>
    <t>Net Debt  (-)</t>
  </si>
  <si>
    <t>Retention %</t>
  </si>
  <si>
    <t>Equity Value for Initial Investors</t>
  </si>
  <si>
    <t>Equity Investor</t>
  </si>
  <si>
    <t>Dayforce, Inc. | Balance Sheet</t>
  </si>
  <si>
    <t>NYSE:DAY (MI KEY: 6546101; SPCIQ KEY: 246737890)</t>
  </si>
  <si>
    <t>Source: Recommended</t>
  </si>
  <si>
    <t>Period Category: Fiscal</t>
  </si>
  <si>
    <t>Period Type: Quarters</t>
  </si>
  <si>
    <t>Reporting Basis: Current/Restated</t>
  </si>
  <si>
    <t>Sort Order: Latest on Right</t>
  </si>
  <si>
    <t>Currency: Reported Currency</t>
  </si>
  <si>
    <t>Magnitude: Millions (M)</t>
  </si>
  <si>
    <t>Recommended: S&amp;P Capital IQ - Standard</t>
  </si>
  <si>
    <t>2024 FQ4</t>
  </si>
  <si>
    <t>2025 FQ1</t>
  </si>
  <si>
    <t>2025 FQ2</t>
  </si>
  <si>
    <t>2025 FQ3</t>
  </si>
  <si>
    <t xml:space="preserve"> </t>
  </si>
  <si>
    <t>Current/Restated</t>
  </si>
  <si>
    <t>Period Ended</t>
  </si>
  <si>
    <t>Financial Filing Date</t>
  </si>
  <si>
    <t>Reported Currency Code</t>
  </si>
  <si>
    <t>USD</t>
  </si>
  <si>
    <t>Assets ($M)</t>
  </si>
  <si>
    <t>Cash and Equivalents</t>
  </si>
  <si>
    <t xml:space="preserve">        Cash &amp; Short-term Investments</t>
  </si>
  <si>
    <t>Other Receivables</t>
  </si>
  <si>
    <t xml:space="preserve">        Total Receivables</t>
  </si>
  <si>
    <t>Prepaid Exp.</t>
  </si>
  <si>
    <t>Other Current Assets</t>
  </si>
  <si>
    <t xml:space="preserve">        Total Current Assets</t>
  </si>
  <si>
    <t>Gross Property, Plant &amp; Equipment</t>
  </si>
  <si>
    <t>NA</t>
  </si>
  <si>
    <t>Accumulated Depreciation</t>
  </si>
  <si>
    <t xml:space="preserve">        Net Property, Plant &amp; Equipment</t>
  </si>
  <si>
    <t>Goodwill</t>
  </si>
  <si>
    <t>Other Intangibles</t>
  </si>
  <si>
    <t>Deferred Charges, LT</t>
  </si>
  <si>
    <t>Other Long-term Assets</t>
  </si>
  <si>
    <t>Total Assets</t>
  </si>
  <si>
    <t>Liabilities ($M)</t>
  </si>
  <si>
    <t>Accrued Exp.</t>
  </si>
  <si>
    <t>Curr. Port. of Long-term Debt</t>
  </si>
  <si>
    <t>Current Portion of Leases</t>
  </si>
  <si>
    <t>Unearned Revenue, Current</t>
  </si>
  <si>
    <t>Other Current Liabilities</t>
  </si>
  <si>
    <t xml:space="preserve">        Total Current Liabilities</t>
  </si>
  <si>
    <t>Long-term Debt</t>
  </si>
  <si>
    <t>Long-term Leases</t>
  </si>
  <si>
    <t>Pension &amp; Other Post-Retire. Benefits</t>
  </si>
  <si>
    <t>Other Non-Current Liabilities</t>
  </si>
  <si>
    <t>Total Liabilities</t>
  </si>
  <si>
    <t>Equity ($M)</t>
  </si>
  <si>
    <t>Common Stock</t>
  </si>
  <si>
    <t>Additional Paid In Capital</t>
  </si>
  <si>
    <t>Comprehensive Inc. and Other</t>
  </si>
  <si>
    <t xml:space="preserve">        Total Common Equity</t>
  </si>
  <si>
    <t>Total Equity</t>
  </si>
  <si>
    <t>Total Liabilities And Equity</t>
  </si>
  <si>
    <t>Supplemental Items ($)</t>
  </si>
  <si>
    <t>ECS Total Shares Outstanding on Filing Date (actual)</t>
  </si>
  <si>
    <t>ECS Total Common Shares Outstanding (actual)</t>
  </si>
  <si>
    <t>Book Value per Share</t>
  </si>
  <si>
    <t>Tangible Book Value</t>
  </si>
  <si>
    <t>Tangible Book Value per Share</t>
  </si>
  <si>
    <t>Debt Equiv. of Unfunded Proj. Benefit Obligation</t>
  </si>
  <si>
    <t>Buildings</t>
  </si>
  <si>
    <t>Machinery</t>
  </si>
  <si>
    <t>Full Time Employees (actual)</t>
  </si>
  <si>
    <t>Accumulated Allowance for Doubtful Accounts</t>
  </si>
  <si>
    <t>Order Backlog</t>
  </si>
  <si>
    <t>CIQ Restatement Type Code</t>
  </si>
  <si>
    <t>O</t>
  </si>
  <si>
    <t>CIQ Calculation Type Code</t>
  </si>
  <si>
    <t>REP</t>
  </si>
  <si>
    <t>Fair Value Measurements ($M)</t>
  </si>
  <si>
    <t>Level 2 Assets - Observable Prices</t>
  </si>
  <si>
    <t>Fair Value of Assets</t>
  </si>
  <si>
    <t>Level 2 Liabilities - Observable Prices</t>
  </si>
  <si>
    <t>Fair Value of Liabilities</t>
  </si>
  <si>
    <t>Fair Value Change Included in Earnings</t>
  </si>
  <si>
    <t>Period Type: Years</t>
  </si>
  <si>
    <t>Currency: U.S. Dollar (USD)</t>
  </si>
  <si>
    <t>Magnitude: Thousands (K)</t>
  </si>
  <si>
    <t>2020 FY</t>
  </si>
  <si>
    <t>2021 FY</t>
  </si>
  <si>
    <t>2022 FY</t>
  </si>
  <si>
    <t>2023 FY</t>
  </si>
  <si>
    <t>2024 FY</t>
  </si>
  <si>
    <t>Spot Exchange Rate</t>
  </si>
  <si>
    <t>Average Exchange Rate</t>
  </si>
  <si>
    <t>Assets ($000)</t>
  </si>
  <si>
    <t>Restricted Cash</t>
  </si>
  <si>
    <t>Liabilities ($000)</t>
  </si>
  <si>
    <t>Equity ($000)</t>
  </si>
  <si>
    <t>Debt Equivalent Oper. Leases</t>
  </si>
  <si>
    <t>Land</t>
  </si>
  <si>
    <t>NC</t>
  </si>
  <si>
    <t>RS</t>
  </si>
  <si>
    <t>RUP</t>
  </si>
  <si>
    <t>Loss Carry Forward Related Items ($000)</t>
  </si>
  <si>
    <t>Tax Benefit Carryforward, After Five Years</t>
  </si>
  <si>
    <t>Total Tax Benefit Carryforward</t>
  </si>
  <si>
    <t>Adoption of FIN 48 Related Items ($000)</t>
  </si>
  <si>
    <t>Unrecog. Tax Benefits, Beginning of the Period</t>
  </si>
  <si>
    <t>Additions Based on Tax Positions - Current Yr.</t>
  </si>
  <si>
    <t>Additions for Tax Positions - Prior Yrs</t>
  </si>
  <si>
    <t>Unrecog. Tax Benefits, End of the Period</t>
  </si>
  <si>
    <t>Fair Value Measurements ($000)</t>
  </si>
  <si>
    <t>Level 3 Liabilities - Unobservable Prices</t>
  </si>
  <si>
    <t>Pricing Date</t>
  </si>
  <si>
    <t>DAY | Share Price (Daily)($)</t>
  </si>
  <si>
    <t>Revenue Mix: Recurring, Float and Professional Services</t>
  </si>
  <si>
    <t>FY2024</t>
  </si>
  <si>
    <t>Revenue by Solution (FY2024)</t>
  </si>
  <si>
    <t>Recurring Revenue (excl. Float)</t>
  </si>
  <si>
    <t>Dayforce Platform</t>
  </si>
  <si>
    <t xml:space="preserve">Recurring Float </t>
  </si>
  <si>
    <t>Powerpay (Canadian SME)</t>
  </si>
  <si>
    <t>Professional Services</t>
  </si>
  <si>
    <t>Other Solutions</t>
  </si>
  <si>
    <t>HCM Software Industry Size</t>
  </si>
  <si>
    <t>SaaS Industry Size</t>
  </si>
  <si>
    <t>HCM Software Market Size</t>
  </si>
  <si>
    <t>SaaS Market Size</t>
  </si>
  <si>
    <t>CAGR</t>
  </si>
  <si>
    <t>Dayforce, Inc. | Financial Highlights</t>
  </si>
  <si>
    <t>Unlevered Free Cash Flow</t>
  </si>
  <si>
    <t>Balance Sheet ($000)</t>
  </si>
  <si>
    <t>Cash &amp; Short-term Investments</t>
  </si>
  <si>
    <t>Net Property, Plant &amp; Equipment</t>
  </si>
  <si>
    <t>Total Common Equity</t>
  </si>
  <si>
    <t>Current Ratio (x)</t>
  </si>
  <si>
    <t>Quick Ratio (x)</t>
  </si>
  <si>
    <t>Total Debt/Equity (%)</t>
  </si>
  <si>
    <t>Total Debt / Total Capital (%)</t>
  </si>
  <si>
    <t>Total Debt / EBITDA (x)</t>
  </si>
  <si>
    <t>NM</t>
  </si>
  <si>
    <t>Income Statement ($000)</t>
  </si>
  <si>
    <t>Gross Profit</t>
  </si>
  <si>
    <t>Earnings from Cont. Ops.</t>
  </si>
  <si>
    <t>EBITDA / Interest Expense (x)</t>
  </si>
  <si>
    <t>EBIT / Interest Expense (x)</t>
  </si>
  <si>
    <t>Avg. Days Sales Out.</t>
  </si>
  <si>
    <t>Accounts Receivable Turnover (x)</t>
  </si>
  <si>
    <t>Fixed Asset Turnover (x)</t>
  </si>
  <si>
    <t>Total Asset Turnover (x)</t>
  </si>
  <si>
    <t>Cash Flow ($000)</t>
  </si>
  <si>
    <t>Cash from Ops.</t>
  </si>
  <si>
    <t>Foreign Exchange Rate Adj.</t>
  </si>
  <si>
    <t>Capital Expenditure</t>
  </si>
  <si>
    <t>Change in Net Working Capital</t>
  </si>
  <si>
    <t>Levered Free Cash Flow</t>
  </si>
  <si>
    <t>Cash from Ops. to Curr. Liab. (x)</t>
  </si>
  <si>
    <t>Profitability (%)</t>
  </si>
  <si>
    <t>Return on Assets</t>
  </si>
  <si>
    <t>Return on Capital</t>
  </si>
  <si>
    <t>Return on Equity</t>
  </si>
  <si>
    <t>Return on Common Equity</t>
  </si>
  <si>
    <t>Net Income Margin</t>
  </si>
  <si>
    <t>Earnings from Cont Ops Margin</t>
  </si>
  <si>
    <t>Per Share Information ($)</t>
  </si>
  <si>
    <t>Basic EPS Excl. Extra Items</t>
  </si>
  <si>
    <t>Basic EPS</t>
  </si>
  <si>
    <t>Diluted EPS Excl. Extra Items</t>
  </si>
  <si>
    <t>Diluted EPS Incl. Extra Items</t>
  </si>
  <si>
    <t>Weighted Avg. Basic Shares Out. (actual)</t>
  </si>
  <si>
    <t>Weighted Avg. Diluted Shares Out. (actual)</t>
  </si>
  <si>
    <t>Dayforce, Inc. | Cash Flow</t>
  </si>
  <si>
    <t>Operating Activities ($M)</t>
  </si>
  <si>
    <t>Net Income - CF</t>
  </si>
  <si>
    <t>Depreciation &amp; Amort.</t>
  </si>
  <si>
    <t>Amort. of Goodwill and Intangibles</t>
  </si>
  <si>
    <t xml:space="preserve">        Depreciation &amp; Amort., Total</t>
  </si>
  <si>
    <t>Other Amortization</t>
  </si>
  <si>
    <t>(Gain) Loss From Sale Of Assets</t>
  </si>
  <si>
    <t>Asset Writedown &amp; Restructuring Costs</t>
  </si>
  <si>
    <t>Stock-Based Compensation</t>
  </si>
  <si>
    <t>Provision &amp; Write-off of Bad debts</t>
  </si>
  <si>
    <t>Other Operating Activities</t>
  </si>
  <si>
    <t>Change in Acc. Receivable</t>
  </si>
  <si>
    <t>Change in Acc. Payable</t>
  </si>
  <si>
    <t>Change in Unearned Rev.</t>
  </si>
  <si>
    <t>Change In Income Taxes</t>
  </si>
  <si>
    <t>Change in Other Net Operating Assets</t>
  </si>
  <si>
    <t xml:space="preserve">        Cash from Ops.</t>
  </si>
  <si>
    <t>Investing Activity ($M)</t>
  </si>
  <si>
    <t>Sale of Property, Plant and Equipment</t>
  </si>
  <si>
    <t>Cash Acquisitions</t>
  </si>
  <si>
    <t>Sale (Purchase) of Intangible assets</t>
  </si>
  <si>
    <t>Invest. in Marketable &amp; Equity Securt.</t>
  </si>
  <si>
    <t>Other Investing Activities</t>
  </si>
  <si>
    <t xml:space="preserve">        Cash from Investing</t>
  </si>
  <si>
    <t>Financing Activity ($M)</t>
  </si>
  <si>
    <t>Short-term Debt Issued</t>
  </si>
  <si>
    <t>Long-term Debt Issued</t>
  </si>
  <si>
    <t xml:space="preserve">        Total Debt Issued</t>
  </si>
  <si>
    <t>Short-term Debt Repaid</t>
  </si>
  <si>
    <t>Long-term Debt Repaid</t>
  </si>
  <si>
    <t xml:space="preserve">        Total Debt Repaid</t>
  </si>
  <si>
    <t>Issuance of Common Stock</t>
  </si>
  <si>
    <t>Repurchase of Common Stock</t>
  </si>
  <si>
    <t>Other Financing Activities</t>
  </si>
  <si>
    <t xml:space="preserve">        Cash from Financing</t>
  </si>
  <si>
    <t>Other Cash Flow ($M)</t>
  </si>
  <si>
    <t xml:space="preserve">        Net Change in Cash</t>
  </si>
  <si>
    <t>Supplemental Items ($M)</t>
  </si>
  <si>
    <t>Cash Interest Paid</t>
  </si>
  <si>
    <t>Cash Taxes Paid</t>
  </si>
  <si>
    <t>Net Debt Issued</t>
  </si>
  <si>
    <t>Loss Carry Forward Related Items ($M)</t>
  </si>
  <si>
    <t>Adoption of FIN 48 Related Items ($M)</t>
  </si>
  <si>
    <t>Dayforce, Inc. | Income Statement</t>
  </si>
  <si>
    <t>($M)</t>
  </si>
  <si>
    <t xml:space="preserve">        Total Revenue</t>
  </si>
  <si>
    <t>Cost Of Goods Sold</t>
  </si>
  <si>
    <t xml:space="preserve">        Gross Profit</t>
  </si>
  <si>
    <t>Selling General &amp; Admin Exp.</t>
  </si>
  <si>
    <t xml:space="preserve">        Other Operating Exp., Total</t>
  </si>
  <si>
    <t xml:space="preserve">        Operating Income</t>
  </si>
  <si>
    <t xml:space="preserve">        Net Interest Exp.</t>
  </si>
  <si>
    <t>Other Non-Operating Inc.</t>
  </si>
  <si>
    <t xml:space="preserve">        EBT Excl Unusual Items</t>
  </si>
  <si>
    <t>Gain (Loss) On Sale Of Assets</t>
  </si>
  <si>
    <t>Other Unusual Items</t>
  </si>
  <si>
    <t xml:space="preserve">        EBT Incl. Unusual Items</t>
  </si>
  <si>
    <t xml:space="preserve">        Earnings from Cont. Ops.</t>
  </si>
  <si>
    <t xml:space="preserve">        Net Income to Company</t>
  </si>
  <si>
    <t xml:space="preserve">        Net Income</t>
  </si>
  <si>
    <t xml:space="preserve">        NI to Common Incl Extra Items</t>
  </si>
  <si>
    <t xml:space="preserve">        NI to Common Excl. Extra Items</t>
  </si>
  <si>
    <t>Per Share Items ($)</t>
  </si>
  <si>
    <t>Normalized Basic EPS</t>
  </si>
  <si>
    <t>Normalized Diluted EPS</t>
  </si>
  <si>
    <t>EBITA</t>
  </si>
  <si>
    <t>EBITDAR</t>
  </si>
  <si>
    <t>As Reported Total Revenue</t>
  </si>
  <si>
    <t>Effective Tax Rate (%)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</si>
  <si>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</si>
  <si>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</si>
  <si>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</si>
  <si>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</si>
  <si>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</si>
  <si>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</si>
  <si>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</si>
  <si>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</si>
  <si>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</si>
  <si>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 ($M)</t>
  </si>
  <si>
    <t>Advertising Expense</t>
  </si>
  <si>
    <t>Selling and Marketing Expense</t>
  </si>
  <si>
    <t>General and Administrative Expense</t>
  </si>
  <si>
    <t>R&amp;D Expense</t>
  </si>
  <si>
    <t>Net Rental Expense, Total</t>
  </si>
  <si>
    <t>Imputed Oper. Lease Interest Exp.</t>
  </si>
  <si>
    <t>Imputed Oper. Lease Depreciation</t>
  </si>
  <si>
    <t>Stock-Based Comp., COGS</t>
  </si>
  <si>
    <t>Stock-Based Comp., Unallocated</t>
  </si>
  <si>
    <t xml:space="preserve">        Stock-Based Comp., Total</t>
  </si>
  <si>
    <t>RC</t>
  </si>
  <si>
    <t>Options Outstanding</t>
  </si>
  <si>
    <t>Options Out. at the Begin of Period, Common Stock</t>
  </si>
  <si>
    <t>Options Granted During the Period, Common Stock</t>
  </si>
  <si>
    <t>Options Exercised During the Period, Common Stock</t>
  </si>
  <si>
    <t>Options Cancelled During the Period, Common Stock</t>
  </si>
  <si>
    <t>Options Out. at the End of Period, Common Stock</t>
  </si>
  <si>
    <t>Options Wtd Avg Strike Price of Outstd, Comm Stock ($)</t>
  </si>
  <si>
    <t>Wtd Avg Strike Price of Granted, Comm Stock ($)</t>
  </si>
  <si>
    <t>Options Outstanding - All Classes</t>
  </si>
  <si>
    <t>Options Out. at the Beginning of the Period, Total</t>
  </si>
  <si>
    <t>Options Granted During the Period, Total</t>
  </si>
  <si>
    <t>Options Exercised During the Period, Total</t>
  </si>
  <si>
    <t>Options Cancelled During the Period, Total</t>
  </si>
  <si>
    <t>Options Out. at the End of the Period, Total</t>
  </si>
  <si>
    <t>Stock Based Compensation ($M)</t>
  </si>
  <si>
    <t>Stock Based Comp. Exp., Before Tax</t>
  </si>
  <si>
    <t>Capitalized Interest Data ($M)</t>
  </si>
  <si>
    <t>Interest Capitalized During the Period</t>
  </si>
  <si>
    <t>Dayforce - Thoma Bravo LBO Model</t>
  </si>
  <si>
    <t>https://www.lsepes.com/reports</t>
  </si>
  <si>
    <t>https://www.linkedin.com/company/lsesu-private-equity-society/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</si>
</sst>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_(0.0\x_);\(0.0\x\);&quot;-&quot;"/>
    <numFmt numFmtId="167" formatCode="#,##0;\(#,##0\)"/>
    <numFmt numFmtId="168" formatCode="#,##0.000"/>
    <numFmt numFmtId="169" formatCode="\$0.00"/>
    <numFmt numFmtId="170" formatCode="0.0%"/>
    <numFmt numFmtId="171" formatCode="#,##0,"/>
    <numFmt numFmtId="172" formatCode="_-* #,##0_-;\(#,##0\)_-;_-* &quot;-&quot;_-;_-@_-"/>
    <numFmt numFmtId="173" formatCode="#,##0.00;\(#,##0.00\)"/>
    <numFmt numFmtId="174" formatCode="&quot;FY &quot;0&quot;A&quot;"/>
    <numFmt numFmtId="175" formatCode="&quot;FY &quot;0&quot;E&quot;"/>
    <numFmt numFmtId="176" formatCode="#,##0.000000;[Red]\(#,##0.000000\)"/>
    <numFmt numFmtId="177" formatCode="#,##0;[Red]\(#,##0\)"/>
    <numFmt numFmtId="178" formatCode="#,##0.00;[Red]\(#,##0.00\)"/>
    <numFmt numFmtId="179" formatCode="#,##0.0;[Red]\(#,##0.0\)"/>
    <numFmt numFmtId="180" formatCode="0&quot;FY&quot;"/>
    <numFmt numFmtId="181" formatCode="#,##0.##;[Red]\(#,##0.##\)"/>
    <numFmt numFmtId="182" formatCode="#,##0.0"/>
    <numFmt numFmtId="183" formatCode="0.0"/>
    <numFmt numFmtId="184" formatCode="_(0.0%_);\(0.0%\);&quot;-&quot;"/>
    <numFmt numFmtId="185" formatCode="_(#,##0_);\(#,##0\);&quot;-&quot;"/>
    <numFmt numFmtId="186" formatCode="_(#,##0.0_);\(#,##0.0\);&quot;-&quot;"/>
    <numFmt numFmtId="187" formatCode="_(#,##0.00_);\(#,##0.00\)\:&quot;-&quot;"/>
    <numFmt numFmtId="188" formatCode="_(0.00%_);\(0.00%\);&quot;-&quot;"/>
    <numFmt numFmtId="189" formatCode="_(\+#,##0.00_);\(\-#,##0.00\);&quot;-&quot;"/>
    <numFmt numFmtId="190" formatCode="_(\+#,##0.00_);\-#,##0.00;&quot;-&quot;"/>
    <numFmt numFmtId="191" formatCode="_(\+0.00%_);\-0.00%;&quot;-&quot;"/>
    <numFmt numFmtId="192" formatCode="&quot;Year &quot;0&quot; (25)&quot;"/>
    <numFmt numFmtId="193" formatCode="&quot;Year &quot;0"/>
    <numFmt numFmtId="194" formatCode="0&quot;-Year-Horizon&quot;"/>
    <numFmt numFmtId="195" formatCode="#,##0;\(#,##0\);&quot;-&quot;"/>
    <numFmt numFmtId="196" formatCode="_(#,##0&quot;bps&quot;_);\(#,##0&quot;bps&quot;\);&quot;-&quot;"/>
    <numFmt numFmtId="197" formatCode="_(#,##0.0%_);\(#,##0.0%\);&quot;-&quot;"/>
    <numFmt numFmtId="198" formatCode="[=1]&quot;Yes&quot;;[=0]&quot;No&quot;;"/>
    <numFmt numFmtId="199" formatCode="_(#,##0_);\(#,##0\);&quot;-&quot;;&quot;@&quot;"/>
    <numFmt numFmtId="200" formatCode="_(#,##0_);\(#,##0\);&quot;-&quot;;@"/>
    <numFmt numFmtId="201" formatCode="#,##0.0&quot;x&quot;"/>
    <numFmt numFmtId="202" formatCode="0&quot;E&quot;"/>
    <numFmt numFmtId="203" formatCode="_(0.0\x_);\(0.0\x\);&quot;-&quot;#"/>
    <numFmt numFmtId="204" formatCode="_(0.0%_);\(0.0%\);&quot;-&quot;;_@"/>
    <numFmt numFmtId="205" formatCode="_(0.0%_);\(0.0%\);&quot;-&quot;;@"/>
    <numFmt numFmtId="206" formatCode="\$#,##0.00&quot;bn&quot;"/>
  </numFmts>
  <fonts count="6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rial"/>
      <family val="2"/>
    </font>
    <font>
      <sz val="11"/>
      <color rgb="FF000000"/>
      <name val="Aptos"/>
      <family val="2"/>
    </font>
    <font>
      <sz val="11"/>
      <color theme="1"/>
      <name val="Arial Narrow"/>
      <family val="2"/>
    </font>
    <font>
      <sz val="11"/>
      <name val="Aptos"/>
      <family val="2"/>
    </font>
    <font>
      <sz val="11"/>
      <color rgb="FF00B050"/>
      <name val="Aptos Narrow"/>
      <family val="2"/>
      <scheme val="minor"/>
    </font>
    <font>
      <b/>
      <sz val="11"/>
      <name val="Aptos"/>
      <family val="2"/>
    </font>
    <font>
      <b/>
      <sz val="11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name val="Calibri"/>
      <family val="2"/>
    </font>
    <font>
      <b/>
      <sz val="11"/>
      <color rgb="FF0070C0"/>
      <name val="Aptos"/>
      <family val="2"/>
    </font>
    <font>
      <b/>
      <sz val="11"/>
      <color theme="1"/>
      <name val="Aptos"/>
      <family val="2"/>
    </font>
    <font>
      <b/>
      <sz val="14"/>
      <name val="Calibri"/>
      <family val="2"/>
    </font>
    <font>
      <b/>
      <i/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57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70C0"/>
      <name val="Calibri"/>
      <family val="2"/>
    </font>
    <font>
      <b/>
      <sz val="11"/>
      <color rgb="FF000000"/>
      <name val="Calibri"/>
      <family val="2"/>
    </font>
    <font>
      <sz val="10"/>
      <color rgb="FF00B050"/>
      <name val="Aptos Narrow"/>
      <family val="2"/>
      <scheme val="minor"/>
    </font>
    <font>
      <b/>
      <sz val="11"/>
      <color theme="3" tint="0.499984740745262"/>
      <name val="Aptos"/>
      <family val="2"/>
    </font>
    <font>
      <sz val="11"/>
      <color theme="1"/>
      <name val="Aptos"/>
      <family val="2"/>
    </font>
    <font>
      <sz val="11"/>
      <color rgb="FF00B050"/>
      <name val="Aptos"/>
      <family val="2"/>
    </font>
    <font>
      <b/>
      <sz val="11"/>
      <color rgb="FFFF0000"/>
      <name val="Aptos"/>
      <family val="2"/>
    </font>
    <font>
      <b/>
      <sz val="14"/>
      <color theme="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sz val="11"/>
      <color theme="0"/>
      <name val="Aptos"/>
      <family val="2"/>
    </font>
    <font>
      <sz val="11"/>
      <color theme="0"/>
      <name val="Aptos"/>
      <family val="2"/>
    </font>
    <font>
      <i/>
      <sz val="11"/>
      <color theme="1"/>
      <name val="Aptos"/>
      <family val="2"/>
    </font>
    <font>
      <i/>
      <sz val="11"/>
      <color rgb="FF0070C0"/>
      <name val="Aptos"/>
      <family val="2"/>
    </font>
    <font>
      <i/>
      <sz val="11"/>
      <color rgb="FF00B050"/>
      <name val="Aptos"/>
      <family val="2"/>
    </font>
    <font>
      <i/>
      <sz val="11"/>
      <name val="Aptos"/>
      <family val="2"/>
    </font>
    <font>
      <b/>
      <sz val="14"/>
      <color rgb="FF0070C0"/>
      <name val="Aptos"/>
      <family val="2"/>
    </font>
    <font>
      <sz val="8"/>
      <color theme="1"/>
      <name val="Aptos"/>
      <family val="2"/>
    </font>
    <font>
      <sz val="11"/>
      <color rgb="FF0070C0"/>
      <name val="Aptos"/>
      <family val="2"/>
    </font>
    <font>
      <i/>
      <sz val="10"/>
      <color theme="1"/>
      <name val="Aptos"/>
      <family val="2"/>
    </font>
    <font>
      <sz val="11"/>
      <color rgb="FFFF0000"/>
      <name val="Aptos"/>
      <family val="2"/>
    </font>
    <font>
      <b/>
      <sz val="11"/>
      <color rgb="FF000000"/>
      <name val="Aptos"/>
      <family val="2"/>
    </font>
    <font>
      <b/>
      <sz val="12"/>
      <color rgb="FF000000"/>
      <name val="Aptos"/>
      <family val="2"/>
    </font>
    <font>
      <b/>
      <sz val="12"/>
      <color theme="1"/>
      <name val="Aptos"/>
      <family val="2"/>
    </font>
    <font>
      <b/>
      <sz val="14"/>
      <color rgb="FF00B050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4"/>
      <color rgb="FF0070C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FEB9C"/>
      </patternFill>
    </fill>
    <fill>
      <patternFill patternType="gray125">
        <fgColor theme="2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lightGray">
        <fgColor theme="2"/>
      </patternFill>
    </fill>
  </fills>
  <borders count="6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rgb="FF0070C0"/>
      </bottom>
      <diagonal/>
    </border>
    <border>
      <left/>
      <right/>
      <top style="thin">
        <color rgb="FF0070C0"/>
      </top>
      <bottom style="medium">
        <color rgb="FF007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dashed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8" fillId="0" borderId="0"/>
    <xf numFmtId="165" fontId="10" fillId="0" borderId="0" applyFont="0" applyFill="0" applyBorder="0" applyAlignment="0" applyProtection="0"/>
    <xf numFmtId="0" fontId="23" fillId="6" borderId="0" applyNumberFormat="0" applyBorder="0" applyAlignment="0" applyProtection="0"/>
    <xf numFmtId="0" fontId="24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1" fillId="0" borderId="0"/>
  </cellStyleXfs>
  <cellXfs count="459">
    <xf numFmtId="0" fontId="0" fillId="0" borderId="0" xfId="0"/>
    <xf numFmtId="0" fontId="3" fillId="3" borderId="0" xfId="0" applyFont="1" applyFill="1"/>
    <xf numFmtId="0" fontId="0" fillId="3" borderId="0" xfId="0" applyFill="1"/>
    <xf numFmtId="0" fontId="4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0" xfId="0" applyAlignment="1">
      <alignment horizontal="left" indent="1"/>
    </xf>
    <xf numFmtId="166" fontId="0" fillId="0" borderId="0" xfId="0" applyNumberFormat="1"/>
    <xf numFmtId="166" fontId="5" fillId="0" borderId="0" xfId="0" applyNumberFormat="1" applyFont="1"/>
    <xf numFmtId="3" fontId="5" fillId="0" borderId="0" xfId="0" applyNumberFormat="1" applyFont="1"/>
    <xf numFmtId="0" fontId="5" fillId="0" borderId="0" xfId="0" applyFont="1" applyAlignment="1">
      <alignment horizontal="right"/>
    </xf>
    <xf numFmtId="3" fontId="0" fillId="0" borderId="0" xfId="0" applyNumberFormat="1"/>
    <xf numFmtId="167" fontId="0" fillId="0" borderId="0" xfId="0" applyNumberFormat="1"/>
    <xf numFmtId="168" fontId="5" fillId="0" borderId="0" xfId="0" applyNumberFormat="1" applyFont="1"/>
    <xf numFmtId="169" fontId="5" fillId="0" borderId="0" xfId="0" applyNumberFormat="1" applyFont="1"/>
    <xf numFmtId="0" fontId="6" fillId="0" borderId="1" xfId="0" applyFont="1" applyBorder="1"/>
    <xf numFmtId="3" fontId="0" fillId="0" borderId="1" xfId="0" applyNumberFormat="1" applyBorder="1"/>
    <xf numFmtId="0" fontId="2" fillId="0" borderId="0" xfId="0" applyFont="1" applyAlignment="1">
      <alignment horizontal="left" indent="1"/>
    </xf>
    <xf numFmtId="3" fontId="2" fillId="0" borderId="0" xfId="0" applyNumberFormat="1" applyFont="1"/>
    <xf numFmtId="166" fontId="0" fillId="0" borderId="1" xfId="0" applyNumberFormat="1" applyBorder="1"/>
    <xf numFmtId="166" fontId="2" fillId="0" borderId="0" xfId="0" applyNumberFormat="1" applyFont="1"/>
    <xf numFmtId="3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9" fillId="0" borderId="0" xfId="3" applyFont="1" applyAlignment="1">
      <alignment horizontal="left" indent="1"/>
    </xf>
    <xf numFmtId="14" fontId="5" fillId="0" borderId="0" xfId="0" applyNumberFormat="1" applyFont="1" applyAlignment="1">
      <alignment horizontal="right"/>
    </xf>
    <xf numFmtId="0" fontId="11" fillId="0" borderId="0" xfId="4" applyNumberFormat="1" applyFont="1" applyFill="1" applyBorder="1" applyAlignment="1" applyProtection="1">
      <alignment horizontal="left" indent="1"/>
      <protection locked="0"/>
    </xf>
    <xf numFmtId="3" fontId="12" fillId="0" borderId="0" xfId="0" applyNumberFormat="1" applyFont="1"/>
    <xf numFmtId="0" fontId="11" fillId="0" borderId="0" xfId="4" applyNumberFormat="1" applyFont="1" applyFill="1" applyAlignment="1" applyProtection="1">
      <alignment horizontal="left" indent="1"/>
      <protection locked="0"/>
    </xf>
    <xf numFmtId="10" fontId="0" fillId="0" borderId="0" xfId="0" applyNumberFormat="1"/>
    <xf numFmtId="0" fontId="13" fillId="0" borderId="0" xfId="4" applyNumberFormat="1" applyFont="1" applyFill="1" applyBorder="1" applyAlignment="1" applyProtection="1">
      <alignment horizontal="left" indent="1"/>
      <protection locked="0"/>
    </xf>
    <xf numFmtId="0" fontId="5" fillId="0" borderId="0" xfId="0" applyFont="1"/>
    <xf numFmtId="171" fontId="0" fillId="0" borderId="0" xfId="0" applyNumberFormat="1"/>
    <xf numFmtId="9" fontId="5" fillId="0" borderId="0" xfId="1" applyFont="1"/>
    <xf numFmtId="0" fontId="2" fillId="0" borderId="0" xfId="0" applyFont="1"/>
    <xf numFmtId="0" fontId="0" fillId="0" borderId="0" xfId="0" applyAlignment="1">
      <alignment horizontal="center"/>
    </xf>
    <xf numFmtId="0" fontId="14" fillId="3" borderId="0" xfId="2" applyFont="1" applyFill="1" applyAlignment="1"/>
    <xf numFmtId="0" fontId="15" fillId="3" borderId="0" xfId="2" applyFont="1" applyFill="1" applyAlignment="1"/>
    <xf numFmtId="0" fontId="16" fillId="4" borderId="0" xfId="0" applyFont="1" applyFill="1" applyAlignment="1">
      <alignment horizontal="left" vertical="top"/>
    </xf>
    <xf numFmtId="0" fontId="16" fillId="4" borderId="0" xfId="0" applyFont="1" applyFill="1" applyAlignment="1">
      <alignment horizontal="right" vertical="top"/>
    </xf>
    <xf numFmtId="14" fontId="0" fillId="0" borderId="0" xfId="0" applyNumberFormat="1" applyAlignment="1">
      <alignment horizontal="left" vertical="top" wrapText="1"/>
    </xf>
    <xf numFmtId="173" fontId="0" fillId="0" borderId="0" xfId="0" applyNumberFormat="1" applyAlignment="1">
      <alignment horizontal="right" vertical="top" wrapText="1"/>
    </xf>
    <xf numFmtId="167" fontId="0" fillId="0" borderId="0" xfId="0" applyNumberFormat="1" applyAlignment="1">
      <alignment horizontal="right" vertical="top" wrapText="1"/>
    </xf>
    <xf numFmtId="174" fontId="17" fillId="0" borderId="2" xfId="0" applyNumberFormat="1" applyFont="1" applyBorder="1" applyAlignment="1">
      <alignment horizontal="right"/>
    </xf>
    <xf numFmtId="175" fontId="18" fillId="0" borderId="3" xfId="0" applyNumberFormat="1" applyFont="1" applyBorder="1"/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20" fillId="5" borderId="4" xfId="0" applyFont="1" applyFill="1" applyBorder="1" applyAlignment="1">
      <alignment horizontal="left" vertical="top" wrapText="1"/>
    </xf>
    <xf numFmtId="0" fontId="0" fillId="0" borderId="0" xfId="0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176" fontId="0" fillId="0" borderId="0" xfId="0" applyNumberFormat="1" applyAlignment="1">
      <alignment horizontal="right" vertical="top" wrapText="1"/>
    </xf>
    <xf numFmtId="177" fontId="0" fillId="0" borderId="0" xfId="0" applyNumberFormat="1" applyAlignment="1">
      <alignment horizontal="right" vertical="top" wrapText="1"/>
    </xf>
    <xf numFmtId="178" fontId="0" fillId="0" borderId="0" xfId="0" applyNumberFormat="1" applyAlignment="1">
      <alignment horizontal="right" vertical="top" wrapText="1"/>
    </xf>
    <xf numFmtId="179" fontId="0" fillId="0" borderId="0" xfId="0" applyNumberFormat="1" applyAlignment="1">
      <alignment horizontal="right" vertical="top" wrapText="1"/>
    </xf>
    <xf numFmtId="180" fontId="20" fillId="5" borderId="4" xfId="0" applyNumberFormat="1" applyFont="1" applyFill="1" applyBorder="1" applyAlignment="1">
      <alignment horizontal="right" vertical="top" wrapText="1"/>
    </xf>
    <xf numFmtId="170" fontId="2" fillId="0" borderId="0" xfId="1" applyNumberFormat="1" applyFont="1"/>
    <xf numFmtId="0" fontId="0" fillId="0" borderId="0" xfId="0" applyAlignment="1">
      <alignment horizontal="left"/>
    </xf>
    <xf numFmtId="3" fontId="7" fillId="0" borderId="1" xfId="0" applyNumberFormat="1" applyFont="1" applyBorder="1"/>
    <xf numFmtId="182" fontId="5" fillId="0" borderId="0" xfId="0" applyNumberFormat="1" applyFont="1"/>
    <xf numFmtId="184" fontId="0" fillId="0" borderId="0" xfId="0" applyNumberFormat="1"/>
    <xf numFmtId="0" fontId="24" fillId="0" borderId="0" xfId="6"/>
    <xf numFmtId="3" fontId="7" fillId="0" borderId="0" xfId="0" applyNumberFormat="1" applyFont="1"/>
    <xf numFmtId="0" fontId="20" fillId="5" borderId="4" xfId="0" applyFont="1" applyFill="1" applyBorder="1" applyAlignment="1">
      <alignment horizontal="right" vertical="top" wrapText="1"/>
    </xf>
    <xf numFmtId="177" fontId="2" fillId="0" borderId="0" xfId="0" applyNumberFormat="1" applyFont="1" applyAlignment="1">
      <alignment horizontal="right" vertical="top" wrapText="1"/>
    </xf>
    <xf numFmtId="185" fontId="0" fillId="0" borderId="0" xfId="0" applyNumberFormat="1"/>
    <xf numFmtId="184" fontId="5" fillId="0" borderId="0" xfId="0" applyNumberFormat="1" applyFont="1" applyAlignment="1">
      <alignment horizontal="center"/>
    </xf>
    <xf numFmtId="185" fontId="0" fillId="0" borderId="0" xfId="0" applyNumberFormat="1" applyAlignment="1">
      <alignment horizontal="center"/>
    </xf>
    <xf numFmtId="184" fontId="0" fillId="0" borderId="0" xfId="1" applyNumberFormat="1" applyFont="1"/>
    <xf numFmtId="164" fontId="13" fillId="0" borderId="0" xfId="4" applyNumberFormat="1" applyFont="1" applyAlignment="1" applyProtection="1">
      <alignment horizontal="center"/>
      <protection locked="0"/>
    </xf>
    <xf numFmtId="172" fontId="13" fillId="0" borderId="0" xfId="4" applyNumberFormat="1" applyFont="1" applyAlignment="1" applyProtection="1">
      <alignment horizontal="center"/>
      <protection locked="0"/>
    </xf>
    <xf numFmtId="0" fontId="13" fillId="0" borderId="0" xfId="4" applyNumberFormat="1" applyFont="1" applyFill="1" applyBorder="1" applyAlignment="1" applyProtection="1">
      <alignment horizontal="center"/>
      <protection locked="0"/>
    </xf>
    <xf numFmtId="0" fontId="13" fillId="0" borderId="1" xfId="4" applyNumberFormat="1" applyFont="1" applyBorder="1" applyAlignment="1" applyProtection="1">
      <alignment horizontal="center"/>
      <protection locked="0"/>
    </xf>
    <xf numFmtId="0" fontId="13" fillId="0" borderId="1" xfId="4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184" fontId="5" fillId="0" borderId="0" xfId="1" applyNumberFormat="1" applyFont="1" applyAlignment="1">
      <alignment horizontal="right"/>
    </xf>
    <xf numFmtId="184" fontId="5" fillId="0" borderId="0" xfId="0" applyNumberFormat="1" applyFont="1" applyAlignment="1">
      <alignment horizontal="right"/>
    </xf>
    <xf numFmtId="10" fontId="5" fillId="0" borderId="0" xfId="1" applyNumberFormat="1" applyFont="1" applyAlignment="1">
      <alignment horizontal="right"/>
    </xf>
    <xf numFmtId="184" fontId="5" fillId="0" borderId="5" xfId="0" applyNumberFormat="1" applyFont="1" applyBorder="1" applyAlignment="1">
      <alignment horizontal="center"/>
    </xf>
    <xf numFmtId="0" fontId="26" fillId="0" borderId="0" xfId="0" applyFont="1"/>
    <xf numFmtId="14" fontId="5" fillId="0" borderId="0" xfId="0" applyNumberFormat="1" applyFont="1"/>
    <xf numFmtId="0" fontId="27" fillId="0" borderId="0" xfId="0" applyFont="1"/>
    <xf numFmtId="0" fontId="0" fillId="0" borderId="7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4" fillId="3" borderId="0" xfId="2" applyFont="1" applyFill="1"/>
    <xf numFmtId="0" fontId="15" fillId="3" borderId="0" xfId="2" applyFont="1" applyFill="1"/>
    <xf numFmtId="0" fontId="29" fillId="0" borderId="0" xfId="0" applyFont="1" applyAlignment="1">
      <alignment horizontal="left" indent="1"/>
    </xf>
    <xf numFmtId="0" fontId="29" fillId="0" borderId="0" xfId="0" applyFont="1"/>
    <xf numFmtId="0" fontId="31" fillId="0" borderId="0" xfId="0" applyFont="1" applyAlignment="1">
      <alignment horizontal="left"/>
    </xf>
    <xf numFmtId="10" fontId="30" fillId="0" borderId="8" xfId="0" applyNumberFormat="1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10" fontId="30" fillId="0" borderId="10" xfId="0" applyNumberFormat="1" applyFont="1" applyBorder="1" applyAlignment="1">
      <alignment horizontal="center"/>
    </xf>
    <xf numFmtId="9" fontId="2" fillId="0" borderId="0" xfId="1" applyFont="1"/>
    <xf numFmtId="184" fontId="0" fillId="0" borderId="0" xfId="0" applyNumberFormat="1" applyAlignment="1">
      <alignment horizontal="right" vertical="top" wrapText="1"/>
    </xf>
    <xf numFmtId="10" fontId="30" fillId="0" borderId="0" xfId="0" applyNumberFormat="1" applyFont="1" applyAlignment="1">
      <alignment horizontal="center"/>
    </xf>
    <xf numFmtId="170" fontId="0" fillId="0" borderId="0" xfId="1" applyNumberFormat="1" applyFont="1"/>
    <xf numFmtId="0" fontId="0" fillId="0" borderId="11" xfId="0" applyBorder="1"/>
    <xf numFmtId="170" fontId="12" fillId="0" borderId="12" xfId="1" applyNumberFormat="1" applyFont="1" applyBorder="1" applyAlignment="1">
      <alignment horizontal="center"/>
    </xf>
    <xf numFmtId="170" fontId="0" fillId="0" borderId="12" xfId="1" applyNumberFormat="1" applyFont="1" applyBorder="1" applyAlignment="1">
      <alignment horizontal="center"/>
    </xf>
    <xf numFmtId="170" fontId="0" fillId="0" borderId="13" xfId="1" applyNumberFormat="1" applyFont="1" applyBorder="1" applyAlignment="1">
      <alignment horizontal="center"/>
    </xf>
    <xf numFmtId="170" fontId="0" fillId="0" borderId="16" xfId="1" applyNumberFormat="1" applyFont="1" applyBorder="1" applyAlignment="1">
      <alignment horizontal="center"/>
    </xf>
    <xf numFmtId="170" fontId="0" fillId="0" borderId="0" xfId="1" applyNumberFormat="1" applyFont="1" applyBorder="1" applyAlignment="1">
      <alignment horizontal="center"/>
    </xf>
    <xf numFmtId="170" fontId="0" fillId="0" borderId="17" xfId="1" applyNumberFormat="1" applyFont="1" applyBorder="1" applyAlignment="1">
      <alignment horizontal="center"/>
    </xf>
    <xf numFmtId="170" fontId="0" fillId="0" borderId="0" xfId="0" applyNumberFormat="1" applyAlignment="1">
      <alignment horizontal="center"/>
    </xf>
    <xf numFmtId="170" fontId="5" fillId="0" borderId="17" xfId="0" applyNumberFormat="1" applyFont="1" applyBorder="1" applyAlignment="1">
      <alignment horizontal="center"/>
    </xf>
    <xf numFmtId="170" fontId="0" fillId="0" borderId="18" xfId="1" applyNumberFormat="1" applyFont="1" applyBorder="1" applyAlignment="1">
      <alignment horizontal="center"/>
    </xf>
    <xf numFmtId="170" fontId="0" fillId="0" borderId="19" xfId="1" applyNumberFormat="1" applyFont="1" applyBorder="1" applyAlignment="1">
      <alignment horizontal="center"/>
    </xf>
    <xf numFmtId="170" fontId="0" fillId="0" borderId="20" xfId="1" applyNumberFormat="1" applyFont="1" applyBorder="1" applyAlignment="1">
      <alignment horizontal="center"/>
    </xf>
    <xf numFmtId="188" fontId="12" fillId="0" borderId="12" xfId="1" applyNumberFormat="1" applyFont="1" applyBorder="1" applyAlignment="1">
      <alignment horizontal="center"/>
    </xf>
    <xf numFmtId="188" fontId="0" fillId="0" borderId="14" xfId="1" applyNumberFormat="1" applyFont="1" applyBorder="1" applyAlignment="1">
      <alignment horizontal="center"/>
    </xf>
    <xf numFmtId="188" fontId="0" fillId="0" borderId="15" xfId="1" applyNumberFormat="1" applyFont="1" applyBorder="1" applyAlignment="1">
      <alignment horizontal="center"/>
    </xf>
    <xf numFmtId="10" fontId="0" fillId="0" borderId="21" xfId="1" applyNumberFormat="1" applyFont="1" applyBorder="1" applyAlignment="1">
      <alignment horizontal="center"/>
    </xf>
    <xf numFmtId="10" fontId="0" fillId="0" borderId="14" xfId="1" applyNumberFormat="1" applyFont="1" applyBorder="1" applyAlignment="1">
      <alignment horizontal="center"/>
    </xf>
    <xf numFmtId="10" fontId="0" fillId="0" borderId="22" xfId="1" applyNumberFormat="1" applyFont="1" applyBorder="1" applyAlignment="1">
      <alignment horizontal="center"/>
    </xf>
    <xf numFmtId="10" fontId="28" fillId="0" borderId="16" xfId="1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0" fontId="5" fillId="0" borderId="17" xfId="1" applyNumberFormat="1" applyFont="1" applyBorder="1" applyAlignment="1">
      <alignment horizontal="center"/>
    </xf>
    <xf numFmtId="10" fontId="0" fillId="0" borderId="18" xfId="1" applyNumberFormat="1" applyFont="1" applyBorder="1" applyAlignment="1">
      <alignment horizontal="center"/>
    </xf>
    <xf numFmtId="10" fontId="0" fillId="0" borderId="19" xfId="1" applyNumberFormat="1" applyFont="1" applyBorder="1" applyAlignment="1">
      <alignment horizontal="center"/>
    </xf>
    <xf numFmtId="10" fontId="0" fillId="0" borderId="20" xfId="1" applyNumberFormat="1" applyFont="1" applyBorder="1" applyAlignment="1">
      <alignment horizontal="center"/>
    </xf>
    <xf numFmtId="9" fontId="12" fillId="0" borderId="11" xfId="1" applyFont="1" applyBorder="1" applyAlignment="1">
      <alignment horizontal="center"/>
    </xf>
    <xf numFmtId="9" fontId="12" fillId="0" borderId="12" xfId="1" applyFont="1" applyBorder="1" applyAlignment="1">
      <alignment horizontal="center"/>
    </xf>
    <xf numFmtId="188" fontId="0" fillId="0" borderId="11" xfId="0" applyNumberFormat="1" applyBorder="1" applyAlignment="1">
      <alignment horizontal="center"/>
    </xf>
    <xf numFmtId="2" fontId="12" fillId="0" borderId="11" xfId="0" applyNumberFormat="1" applyFont="1" applyBorder="1" applyAlignment="1">
      <alignment horizontal="center"/>
    </xf>
    <xf numFmtId="2" fontId="12" fillId="0" borderId="12" xfId="0" applyNumberFormat="1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7" fillId="0" borderId="16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170" fontId="12" fillId="0" borderId="11" xfId="1" applyNumberFormat="1" applyFont="1" applyBorder="1" applyAlignment="1">
      <alignment horizontal="center"/>
    </xf>
    <xf numFmtId="10" fontId="7" fillId="0" borderId="14" xfId="1" applyNumberFormat="1" applyFont="1" applyBorder="1" applyAlignment="1">
      <alignment horizontal="center"/>
    </xf>
    <xf numFmtId="10" fontId="7" fillId="0" borderId="15" xfId="1" applyNumberFormat="1" applyFont="1" applyBorder="1" applyAlignment="1">
      <alignment horizontal="center"/>
    </xf>
    <xf numFmtId="10" fontId="5" fillId="0" borderId="25" xfId="1" applyNumberFormat="1" applyFont="1" applyBorder="1" applyAlignment="1">
      <alignment horizontal="center"/>
    </xf>
    <xf numFmtId="10" fontId="0" fillId="0" borderId="0" xfId="0" applyNumberFormat="1" applyAlignment="1">
      <alignment horizontal="center"/>
    </xf>
    <xf numFmtId="10" fontId="5" fillId="0" borderId="26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2" fontId="5" fillId="0" borderId="17" xfId="0" applyNumberFormat="1" applyFon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0" fontId="0" fillId="0" borderId="23" xfId="0" applyNumberFormat="1" applyBorder="1" applyAlignment="1">
      <alignment horizontal="center"/>
    </xf>
    <xf numFmtId="10" fontId="0" fillId="0" borderId="27" xfId="0" applyNumberFormat="1" applyBorder="1" applyAlignment="1">
      <alignment horizontal="center"/>
    </xf>
    <xf numFmtId="10" fontId="0" fillId="0" borderId="28" xfId="0" applyNumberFormat="1" applyBorder="1" applyAlignment="1">
      <alignment horizontal="center"/>
    </xf>
    <xf numFmtId="9" fontId="0" fillId="0" borderId="14" xfId="1" applyFont="1" applyBorder="1" applyAlignment="1">
      <alignment horizontal="center"/>
    </xf>
    <xf numFmtId="170" fontId="0" fillId="0" borderId="14" xfId="1" applyNumberFormat="1" applyFont="1" applyBorder="1" applyAlignment="1">
      <alignment horizontal="center"/>
    </xf>
    <xf numFmtId="10" fontId="0" fillId="0" borderId="24" xfId="1" applyNumberFormat="1" applyFont="1" applyBorder="1" applyAlignment="1">
      <alignment horizontal="center"/>
    </xf>
    <xf numFmtId="10" fontId="0" fillId="0" borderId="28" xfId="1" applyNumberFormat="1" applyFont="1" applyBorder="1" applyAlignment="1">
      <alignment horizontal="center"/>
    </xf>
    <xf numFmtId="10" fontId="0" fillId="0" borderId="29" xfId="1" applyNumberFormat="1" applyFont="1" applyBorder="1" applyAlignment="1">
      <alignment horizontal="center"/>
    </xf>
    <xf numFmtId="9" fontId="0" fillId="0" borderId="12" xfId="1" applyFont="1" applyBorder="1" applyAlignment="1">
      <alignment horizontal="center"/>
    </xf>
    <xf numFmtId="9" fontId="0" fillId="0" borderId="13" xfId="1" applyFont="1" applyBorder="1" applyAlignment="1">
      <alignment horizontal="center"/>
    </xf>
    <xf numFmtId="170" fontId="5" fillId="0" borderId="13" xfId="1" applyNumberFormat="1" applyFont="1" applyBorder="1" applyAlignment="1">
      <alignment horizontal="center"/>
    </xf>
    <xf numFmtId="183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84" fontId="32" fillId="0" borderId="0" xfId="1" applyNumberFormat="1" applyFont="1" applyAlignment="1">
      <alignment horizontal="center"/>
    </xf>
    <xf numFmtId="9" fontId="0" fillId="0" borderId="21" xfId="1" applyFont="1" applyBorder="1" applyAlignment="1">
      <alignment horizontal="center"/>
    </xf>
    <xf numFmtId="9" fontId="0" fillId="0" borderId="22" xfId="1" applyFont="1" applyBorder="1" applyAlignment="1">
      <alignment horizontal="center"/>
    </xf>
    <xf numFmtId="9" fontId="0" fillId="0" borderId="16" xfId="1" applyFont="1" applyBorder="1" applyAlignment="1">
      <alignment horizontal="center"/>
    </xf>
    <xf numFmtId="9" fontId="0" fillId="0" borderId="18" xfId="1" applyFont="1" applyBorder="1" applyAlignment="1">
      <alignment horizontal="center"/>
    </xf>
    <xf numFmtId="9" fontId="0" fillId="0" borderId="19" xfId="1" applyFont="1" applyBorder="1" applyAlignment="1">
      <alignment horizontal="center"/>
    </xf>
    <xf numFmtId="9" fontId="0" fillId="0" borderId="20" xfId="1" applyFont="1" applyBorder="1" applyAlignment="1">
      <alignment horizontal="center"/>
    </xf>
    <xf numFmtId="10" fontId="0" fillId="0" borderId="16" xfId="1" applyNumberFormat="1" applyFont="1" applyBorder="1" applyAlignment="1">
      <alignment horizontal="center"/>
    </xf>
    <xf numFmtId="170" fontId="0" fillId="0" borderId="21" xfId="1" applyNumberFormat="1" applyFont="1" applyBorder="1" applyAlignment="1">
      <alignment horizontal="center"/>
    </xf>
    <xf numFmtId="170" fontId="0" fillId="0" borderId="22" xfId="1" applyNumberFormat="1" applyFont="1" applyBorder="1" applyAlignment="1">
      <alignment horizontal="center"/>
    </xf>
    <xf numFmtId="10" fontId="12" fillId="0" borderId="11" xfId="1" applyNumberFormat="1" applyFont="1" applyBorder="1" applyAlignment="1">
      <alignment horizontal="center"/>
    </xf>
    <xf numFmtId="10" fontId="12" fillId="0" borderId="12" xfId="1" applyNumberFormat="1" applyFont="1" applyBorder="1" applyAlignment="1">
      <alignment horizontal="center"/>
    </xf>
    <xf numFmtId="10" fontId="0" fillId="0" borderId="12" xfId="1" applyNumberFormat="1" applyFont="1" applyBorder="1" applyAlignment="1">
      <alignment horizontal="center"/>
    </xf>
    <xf numFmtId="10" fontId="0" fillId="0" borderId="13" xfId="1" applyNumberFormat="1" applyFont="1" applyBorder="1" applyAlignment="1">
      <alignment horizontal="center"/>
    </xf>
    <xf numFmtId="9" fontId="0" fillId="0" borderId="0" xfId="1" applyFont="1" applyAlignment="1">
      <alignment horizontal="center"/>
    </xf>
    <xf numFmtId="170" fontId="0" fillId="0" borderId="0" xfId="1" applyNumberFormat="1" applyFont="1" applyAlignment="1">
      <alignment horizontal="center"/>
    </xf>
    <xf numFmtId="170" fontId="5" fillId="0" borderId="0" xfId="1" applyNumberFormat="1" applyFont="1" applyAlignment="1">
      <alignment horizontal="center"/>
    </xf>
    <xf numFmtId="170" fontId="5" fillId="0" borderId="17" xfId="1" applyNumberFormat="1" applyFont="1" applyBorder="1" applyAlignment="1">
      <alignment horizontal="center"/>
    </xf>
    <xf numFmtId="14" fontId="7" fillId="0" borderId="0" xfId="0" applyNumberFormat="1" applyFont="1"/>
    <xf numFmtId="189" fontId="30" fillId="0" borderId="8" xfId="1" applyNumberFormat="1" applyFont="1" applyBorder="1" applyAlignment="1">
      <alignment horizontal="center"/>
    </xf>
    <xf numFmtId="189" fontId="30" fillId="0" borderId="9" xfId="1" applyNumberFormat="1" applyFont="1" applyBorder="1" applyAlignment="1">
      <alignment horizontal="center"/>
    </xf>
    <xf numFmtId="190" fontId="30" fillId="0" borderId="10" xfId="1" applyNumberFormat="1" applyFont="1" applyBorder="1" applyAlignment="1">
      <alignment horizontal="center"/>
    </xf>
    <xf numFmtId="191" fontId="30" fillId="0" borderId="8" xfId="0" applyNumberFormat="1" applyFont="1" applyBorder="1" applyAlignment="1">
      <alignment horizontal="center"/>
    </xf>
    <xf numFmtId="191" fontId="30" fillId="0" borderId="9" xfId="0" applyNumberFormat="1" applyFont="1" applyBorder="1" applyAlignment="1">
      <alignment horizontal="center"/>
    </xf>
    <xf numFmtId="191" fontId="30" fillId="0" borderId="10" xfId="0" applyNumberFormat="1" applyFont="1" applyBorder="1" applyAlignment="1">
      <alignment horizontal="center"/>
    </xf>
    <xf numFmtId="185" fontId="12" fillId="0" borderId="0" xfId="0" applyNumberFormat="1" applyFont="1" applyAlignment="1">
      <alignment horizontal="center"/>
    </xf>
    <xf numFmtId="0" fontId="0" fillId="3" borderId="11" xfId="0" applyFill="1" applyBorder="1"/>
    <xf numFmtId="0" fontId="0" fillId="3" borderId="12" xfId="0" applyFill="1" applyBorder="1"/>
    <xf numFmtId="10" fontId="0" fillId="3" borderId="12" xfId="1" applyNumberFormat="1" applyFont="1" applyFill="1" applyBorder="1"/>
    <xf numFmtId="10" fontId="0" fillId="0" borderId="12" xfId="1" applyNumberFormat="1" applyFont="1" applyBorder="1"/>
    <xf numFmtId="10" fontId="0" fillId="0" borderId="13" xfId="1" applyNumberFormat="1" applyFont="1" applyBorder="1"/>
    <xf numFmtId="10" fontId="0" fillId="0" borderId="0" xfId="1" applyNumberFormat="1" applyFont="1"/>
    <xf numFmtId="10" fontId="5" fillId="0" borderId="12" xfId="1" applyNumberFormat="1" applyFont="1" applyFill="1" applyBorder="1"/>
    <xf numFmtId="10" fontId="5" fillId="0" borderId="12" xfId="1" applyNumberFormat="1" applyFont="1" applyBorder="1"/>
    <xf numFmtId="10" fontId="5" fillId="0" borderId="13" xfId="1" applyNumberFormat="1" applyFont="1" applyBorder="1"/>
    <xf numFmtId="0" fontId="0" fillId="8" borderId="0" xfId="0" applyFill="1"/>
    <xf numFmtId="184" fontId="7" fillId="0" borderId="30" xfId="0" applyNumberFormat="1" applyFont="1" applyBorder="1" applyAlignment="1">
      <alignment horizontal="center"/>
    </xf>
    <xf numFmtId="10" fontId="5" fillId="0" borderId="31" xfId="0" applyNumberFormat="1" applyFont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166" fontId="25" fillId="0" borderId="33" xfId="0" applyNumberFormat="1" applyFont="1" applyBorder="1" applyAlignment="1">
      <alignment horizontal="center"/>
    </xf>
    <xf numFmtId="170" fontId="12" fillId="0" borderId="0" xfId="1" applyNumberFormat="1" applyFont="1" applyBorder="1" applyAlignment="1">
      <alignment horizontal="center"/>
    </xf>
    <xf numFmtId="170" fontId="5" fillId="0" borderId="0" xfId="1" applyNumberFormat="1" applyFont="1" applyBorder="1" applyAlignment="1">
      <alignment horizontal="center"/>
    </xf>
    <xf numFmtId="170" fontId="5" fillId="0" borderId="16" xfId="1" applyNumberFormat="1" applyFont="1" applyBorder="1" applyAlignment="1">
      <alignment horizontal="center"/>
    </xf>
    <xf numFmtId="175" fontId="18" fillId="0" borderId="0" xfId="0" applyNumberFormat="1" applyFont="1"/>
    <xf numFmtId="175" fontId="33" fillId="0" borderId="3" xfId="0" applyNumberFormat="1" applyFont="1" applyBorder="1" applyAlignment="1">
      <alignment horizontal="center"/>
    </xf>
    <xf numFmtId="183" fontId="12" fillId="0" borderId="38" xfId="0" applyNumberFormat="1" applyFont="1" applyBorder="1" applyAlignment="1">
      <alignment horizontal="center"/>
    </xf>
    <xf numFmtId="183" fontId="12" fillId="0" borderId="14" xfId="0" applyNumberFormat="1" applyFont="1" applyBorder="1" applyAlignment="1">
      <alignment horizontal="center"/>
    </xf>
    <xf numFmtId="183" fontId="7" fillId="0" borderId="14" xfId="0" applyNumberFormat="1" applyFont="1" applyBorder="1" applyAlignment="1">
      <alignment horizontal="center"/>
    </xf>
    <xf numFmtId="183" fontId="5" fillId="0" borderId="15" xfId="0" applyNumberFormat="1" applyFont="1" applyBorder="1" applyAlignment="1">
      <alignment horizontal="center"/>
    </xf>
    <xf numFmtId="170" fontId="12" fillId="0" borderId="39" xfId="1" applyNumberFormat="1" applyFont="1" applyBorder="1" applyAlignment="1">
      <alignment horizontal="center"/>
    </xf>
    <xf numFmtId="170" fontId="7" fillId="0" borderId="0" xfId="1" applyNumberFormat="1" applyFont="1" applyBorder="1" applyAlignment="1">
      <alignment horizontal="center"/>
    </xf>
    <xf numFmtId="170" fontId="7" fillId="0" borderId="40" xfId="1" applyNumberFormat="1" applyFont="1" applyBorder="1" applyAlignment="1">
      <alignment horizontal="center"/>
    </xf>
    <xf numFmtId="183" fontId="12" fillId="0" borderId="39" xfId="0" applyNumberFormat="1" applyFont="1" applyBorder="1" applyAlignment="1">
      <alignment horizontal="center"/>
    </xf>
    <xf numFmtId="183" fontId="7" fillId="0" borderId="0" xfId="0" applyNumberFormat="1" applyFont="1" applyAlignment="1">
      <alignment horizontal="center"/>
    </xf>
    <xf numFmtId="183" fontId="5" fillId="0" borderId="0" xfId="0" applyNumberFormat="1" applyFont="1" applyAlignment="1">
      <alignment horizontal="center"/>
    </xf>
    <xf numFmtId="183" fontId="7" fillId="0" borderId="40" xfId="0" applyNumberFormat="1" applyFont="1" applyBorder="1" applyAlignment="1">
      <alignment horizontal="center"/>
    </xf>
    <xf numFmtId="170" fontId="12" fillId="0" borderId="41" xfId="1" applyNumberFormat="1" applyFont="1" applyBorder="1" applyAlignment="1">
      <alignment horizontal="center"/>
    </xf>
    <xf numFmtId="170" fontId="12" fillId="0" borderId="1" xfId="1" applyNumberFormat="1" applyFont="1" applyBorder="1" applyAlignment="1">
      <alignment horizontal="center"/>
    </xf>
    <xf numFmtId="170" fontId="7" fillId="0" borderId="1" xfId="1" applyNumberFormat="1" applyFont="1" applyBorder="1" applyAlignment="1">
      <alignment horizontal="center"/>
    </xf>
    <xf numFmtId="170" fontId="7" fillId="0" borderId="42" xfId="1" applyNumberFormat="1" applyFont="1" applyBorder="1" applyAlignment="1">
      <alignment horizontal="center"/>
    </xf>
    <xf numFmtId="183" fontId="7" fillId="0" borderId="21" xfId="0" applyNumberFormat="1" applyFont="1" applyBorder="1" applyAlignment="1">
      <alignment horizontal="center"/>
    </xf>
    <xf numFmtId="170" fontId="7" fillId="0" borderId="16" xfId="1" applyNumberFormat="1" applyFont="1" applyBorder="1" applyAlignment="1">
      <alignment horizontal="center"/>
    </xf>
    <xf numFmtId="183" fontId="7" fillId="0" borderId="16" xfId="0" applyNumberFormat="1" applyFont="1" applyBorder="1" applyAlignment="1">
      <alignment horizontal="center"/>
    </xf>
    <xf numFmtId="170" fontId="7" fillId="0" borderId="43" xfId="1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70" fontId="12" fillId="12" borderId="39" xfId="1" applyNumberFormat="1" applyFont="1" applyFill="1" applyBorder="1" applyAlignment="1">
      <alignment horizontal="center"/>
    </xf>
    <xf numFmtId="196" fontId="12" fillId="0" borderId="0" xfId="0" applyNumberFormat="1" applyFont="1"/>
    <xf numFmtId="185" fontId="18" fillId="0" borderId="0" xfId="0" applyNumberFormat="1" applyFont="1"/>
    <xf numFmtId="9" fontId="5" fillId="0" borderId="0" xfId="0" applyNumberFormat="1" applyFont="1" applyAlignment="1">
      <alignment horizontal="center"/>
    </xf>
    <xf numFmtId="185" fontId="34" fillId="0" borderId="0" xfId="0" applyNumberFormat="1" applyFont="1"/>
    <xf numFmtId="185" fontId="35" fillId="0" borderId="0" xfId="0" applyNumberFormat="1" applyFont="1"/>
    <xf numFmtId="166" fontId="12" fillId="0" borderId="0" xfId="0" applyNumberFormat="1" applyFont="1"/>
    <xf numFmtId="0" fontId="2" fillId="0" borderId="1" xfId="0" applyFont="1" applyBorder="1" applyAlignment="1">
      <alignment horizontal="centerContinuous"/>
    </xf>
    <xf numFmtId="0" fontId="0" fillId="0" borderId="1" xfId="0" applyBorder="1" applyAlignment="1">
      <alignment horizontal="centerContinuous"/>
    </xf>
    <xf numFmtId="9" fontId="7" fillId="0" borderId="0" xfId="1" applyFont="1" applyAlignment="1">
      <alignment horizontal="centerContinuous"/>
    </xf>
    <xf numFmtId="0" fontId="0" fillId="0" borderId="0" xfId="0" applyAlignment="1">
      <alignment horizontal="centerContinuous"/>
    </xf>
    <xf numFmtId="175" fontId="36" fillId="0" borderId="3" xfId="0" applyNumberFormat="1" applyFont="1" applyBorder="1"/>
    <xf numFmtId="9" fontId="5" fillId="0" borderId="17" xfId="1" applyFont="1" applyBorder="1" applyAlignment="1">
      <alignment horizontal="center"/>
    </xf>
    <xf numFmtId="170" fontId="5" fillId="0" borderId="12" xfId="1" applyNumberFormat="1" applyFont="1" applyBorder="1" applyAlignment="1">
      <alignment horizontal="center"/>
    </xf>
    <xf numFmtId="0" fontId="12" fillId="0" borderId="0" xfId="0" applyFont="1"/>
    <xf numFmtId="0" fontId="12" fillId="0" borderId="1" xfId="0" applyFont="1" applyBorder="1"/>
    <xf numFmtId="167" fontId="12" fillId="0" borderId="0" xfId="0" applyNumberFormat="1" applyFont="1"/>
    <xf numFmtId="0" fontId="0" fillId="0" borderId="12" xfId="0" applyBorder="1"/>
    <xf numFmtId="9" fontId="12" fillId="0" borderId="13" xfId="0" applyNumberFormat="1" applyFont="1" applyBorder="1"/>
    <xf numFmtId="165" fontId="7" fillId="8" borderId="0" xfId="4" applyFont="1" applyFill="1" applyAlignment="1">
      <alignment horizontal="right"/>
    </xf>
    <xf numFmtId="182" fontId="12" fillId="0" borderId="0" xfId="0" applyNumberFormat="1" applyFont="1"/>
    <xf numFmtId="170" fontId="12" fillId="0" borderId="1" xfId="1" applyNumberFormat="1" applyFont="1" applyBorder="1"/>
    <xf numFmtId="0" fontId="0" fillId="0" borderId="1" xfId="0" applyBorder="1" applyAlignment="1">
      <alignment horizontal="center"/>
    </xf>
    <xf numFmtId="202" fontId="18" fillId="0" borderId="3" xfId="0" applyNumberFormat="1" applyFont="1" applyBorder="1"/>
    <xf numFmtId="3" fontId="34" fillId="0" borderId="0" xfId="0" applyNumberFormat="1" applyFont="1"/>
    <xf numFmtId="3" fontId="0" fillId="0" borderId="0" xfId="1" applyNumberFormat="1" applyFont="1"/>
    <xf numFmtId="166" fontId="2" fillId="0" borderId="0" xfId="0" applyNumberFormat="1" applyFont="1" applyAlignment="1">
      <alignment horizontal="right"/>
    </xf>
    <xf numFmtId="203" fontId="0" fillId="0" borderId="50" xfId="0" applyNumberFormat="1" applyBorder="1" applyAlignment="1">
      <alignment horizontal="center"/>
    </xf>
    <xf numFmtId="203" fontId="0" fillId="0" borderId="51" xfId="0" applyNumberFormat="1" applyBorder="1" applyAlignment="1">
      <alignment horizontal="center"/>
    </xf>
    <xf numFmtId="203" fontId="2" fillId="0" borderId="51" xfId="0" applyNumberFormat="1" applyFont="1" applyBorder="1" applyAlignment="1">
      <alignment horizontal="center"/>
    </xf>
    <xf numFmtId="203" fontId="0" fillId="0" borderId="52" xfId="0" applyNumberFormat="1" applyBorder="1" applyAlignment="1">
      <alignment horizontal="center"/>
    </xf>
    <xf numFmtId="166" fontId="38" fillId="0" borderId="51" xfId="0" applyNumberFormat="1" applyFont="1" applyBorder="1" applyAlignment="1">
      <alignment horizontal="center"/>
    </xf>
    <xf numFmtId="166" fontId="38" fillId="0" borderId="3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170" fontId="12" fillId="0" borderId="0" xfId="0" applyNumberFormat="1" applyFont="1" applyAlignment="1">
      <alignment horizontal="center"/>
    </xf>
    <xf numFmtId="0" fontId="34" fillId="0" borderId="0" xfId="0" applyFont="1"/>
    <xf numFmtId="0" fontId="34" fillId="10" borderId="0" xfId="0" applyFont="1" applyFill="1"/>
    <xf numFmtId="0" fontId="40" fillId="11" borderId="0" xfId="0" applyFont="1" applyFill="1" applyAlignment="1">
      <alignment horizontal="centerContinuous"/>
    </xf>
    <xf numFmtId="0" fontId="34" fillId="11" borderId="0" xfId="0" applyFont="1" applyFill="1" applyAlignment="1">
      <alignment horizontal="centerContinuous"/>
    </xf>
    <xf numFmtId="0" fontId="40" fillId="9" borderId="0" xfId="0" applyFont="1" applyFill="1" applyAlignment="1">
      <alignment horizontal="centerContinuous"/>
    </xf>
    <xf numFmtId="0" fontId="41" fillId="9" borderId="0" xfId="0" applyFont="1" applyFill="1" applyAlignment="1">
      <alignment horizontal="centerContinuous"/>
    </xf>
    <xf numFmtId="0" fontId="40" fillId="10" borderId="0" xfId="0" applyFont="1" applyFill="1" applyAlignment="1">
      <alignment horizontal="center"/>
    </xf>
    <xf numFmtId="0" fontId="40" fillId="11" borderId="0" xfId="0" applyFont="1" applyFill="1" applyAlignment="1">
      <alignment horizontal="center"/>
    </xf>
    <xf numFmtId="14" fontId="40" fillId="9" borderId="0" xfId="0" applyNumberFormat="1" applyFont="1" applyFill="1" applyAlignment="1">
      <alignment horizontal="center" wrapText="1"/>
    </xf>
    <xf numFmtId="0" fontId="34" fillId="0" borderId="0" xfId="0" applyFont="1" applyAlignment="1">
      <alignment wrapText="1"/>
    </xf>
    <xf numFmtId="0" fontId="42" fillId="0" borderId="0" xfId="0" applyFont="1"/>
    <xf numFmtId="14" fontId="43" fillId="0" borderId="0" xfId="0" applyNumberFormat="1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1" fontId="42" fillId="0" borderId="0" xfId="0" applyNumberFormat="1" applyFont="1" applyAlignment="1">
      <alignment horizontal="center"/>
    </xf>
    <xf numFmtId="2" fontId="44" fillId="0" borderId="0" xfId="0" applyNumberFormat="1" applyFont="1" applyAlignment="1">
      <alignment horizontal="center"/>
    </xf>
    <xf numFmtId="2" fontId="45" fillId="0" borderId="0" xfId="0" applyNumberFormat="1" applyFont="1" applyAlignment="1">
      <alignment horizontal="center"/>
    </xf>
    <xf numFmtId="0" fontId="43" fillId="0" borderId="0" xfId="0" applyFont="1"/>
    <xf numFmtId="2" fontId="44" fillId="0" borderId="0" xfId="0" applyNumberFormat="1" applyFont="1"/>
    <xf numFmtId="0" fontId="44" fillId="0" borderId="0" xfId="0" applyFont="1"/>
    <xf numFmtId="0" fontId="34" fillId="0" borderId="0" xfId="0" applyFont="1" applyAlignment="1">
      <alignment horizontal="center" vertical="top"/>
    </xf>
    <xf numFmtId="0" fontId="46" fillId="3" borderId="0" xfId="2" applyFont="1" applyFill="1" applyAlignment="1"/>
    <xf numFmtId="0" fontId="34" fillId="3" borderId="0" xfId="2" applyFont="1" applyFill="1" applyAlignment="1"/>
    <xf numFmtId="0" fontId="34" fillId="3" borderId="0" xfId="2" applyFont="1" applyFill="1"/>
    <xf numFmtId="0" fontId="47" fillId="0" borderId="0" xfId="0" applyFont="1"/>
    <xf numFmtId="0" fontId="18" fillId="0" borderId="0" xfId="0" applyFont="1" applyAlignment="1">
      <alignment horizontal="left" vertical="top"/>
    </xf>
    <xf numFmtId="185" fontId="48" fillId="0" borderId="0" xfId="0" applyNumberFormat="1" applyFont="1"/>
    <xf numFmtId="185" fontId="11" fillId="0" borderId="0" xfId="0" applyNumberFormat="1" applyFont="1"/>
    <xf numFmtId="0" fontId="34" fillId="0" borderId="0" xfId="0" applyFont="1" applyAlignment="1">
      <alignment horizontal="left"/>
    </xf>
    <xf numFmtId="0" fontId="34" fillId="0" borderId="0" xfId="0" applyFont="1" applyAlignment="1">
      <alignment horizontal="left" vertical="top"/>
    </xf>
    <xf numFmtId="183" fontId="34" fillId="0" borderId="0" xfId="0" applyNumberFormat="1" applyFont="1"/>
    <xf numFmtId="0" fontId="42" fillId="0" borderId="0" xfId="0" applyFont="1" applyAlignment="1">
      <alignment horizontal="left" vertical="top" indent="1"/>
    </xf>
    <xf numFmtId="0" fontId="18" fillId="0" borderId="0" xfId="0" applyFont="1"/>
    <xf numFmtId="0" fontId="34" fillId="0" borderId="0" xfId="0" applyFont="1" applyAlignment="1">
      <alignment horizontal="left" indent="2"/>
    </xf>
    <xf numFmtId="0" fontId="49" fillId="0" borderId="0" xfId="0" applyFont="1"/>
    <xf numFmtId="170" fontId="49" fillId="0" borderId="0" xfId="1" applyNumberFormat="1" applyFont="1"/>
    <xf numFmtId="0" fontId="42" fillId="0" borderId="0" xfId="0" applyFont="1" applyAlignment="1">
      <alignment horizontal="left" indent="1"/>
    </xf>
    <xf numFmtId="185" fontId="45" fillId="0" borderId="0" xfId="0" applyNumberFormat="1" applyFont="1"/>
    <xf numFmtId="184" fontId="48" fillId="0" borderId="0" xfId="1" applyNumberFormat="1" applyFont="1"/>
    <xf numFmtId="184" fontId="34" fillId="0" borderId="0" xfId="0" applyNumberFormat="1" applyFont="1"/>
    <xf numFmtId="185" fontId="48" fillId="7" borderId="0" xfId="0" applyNumberFormat="1" applyFont="1" applyFill="1"/>
    <xf numFmtId="0" fontId="34" fillId="0" borderId="0" xfId="0" applyFont="1" applyAlignment="1">
      <alignment horizontal="left" indent="1"/>
    </xf>
    <xf numFmtId="185" fontId="11" fillId="7" borderId="0" xfId="0" applyNumberFormat="1" applyFont="1" applyFill="1"/>
    <xf numFmtId="185" fontId="17" fillId="0" borderId="0" xfId="0" applyNumberFormat="1" applyFont="1"/>
    <xf numFmtId="185" fontId="13" fillId="0" borderId="0" xfId="0" applyNumberFormat="1" applyFont="1"/>
    <xf numFmtId="0" fontId="34" fillId="8" borderId="0" xfId="0" applyFont="1" applyFill="1"/>
    <xf numFmtId="187" fontId="11" fillId="0" borderId="0" xfId="0" applyNumberFormat="1" applyFont="1"/>
    <xf numFmtId="187" fontId="35" fillId="0" borderId="0" xfId="0" applyNumberFormat="1" applyFont="1"/>
    <xf numFmtId="187" fontId="34" fillId="0" borderId="0" xfId="0" applyNumberFormat="1" applyFont="1"/>
    <xf numFmtId="170" fontId="34" fillId="0" borderId="0" xfId="1" applyNumberFormat="1" applyFont="1"/>
    <xf numFmtId="10" fontId="35" fillId="0" borderId="0" xfId="0" applyNumberFormat="1" applyFont="1"/>
    <xf numFmtId="10" fontId="34" fillId="0" borderId="0" xfId="0" applyNumberFormat="1" applyFont="1"/>
    <xf numFmtId="0" fontId="50" fillId="0" borderId="0" xfId="0" quotePrefix="1" applyFont="1"/>
    <xf numFmtId="184" fontId="42" fillId="0" borderId="0" xfId="0" applyNumberFormat="1" applyFont="1"/>
    <xf numFmtId="184" fontId="42" fillId="0" borderId="0" xfId="1" applyNumberFormat="1" applyFont="1"/>
    <xf numFmtId="181" fontId="34" fillId="0" borderId="0" xfId="0" applyNumberFormat="1" applyFont="1" applyAlignment="1">
      <alignment horizontal="right" vertical="top"/>
    </xf>
    <xf numFmtId="0" fontId="50" fillId="0" borderId="0" xfId="0" applyFont="1"/>
    <xf numFmtId="181" fontId="34" fillId="0" borderId="0" xfId="0" applyNumberFormat="1" applyFont="1" applyAlignment="1">
      <alignment vertical="top"/>
    </xf>
    <xf numFmtId="0" fontId="34" fillId="0" borderId="34" xfId="0" applyFont="1" applyBorder="1" applyAlignment="1">
      <alignment horizontal="center"/>
    </xf>
    <xf numFmtId="0" fontId="34" fillId="0" borderId="0" xfId="0" applyFont="1" applyAlignment="1">
      <alignment horizontal="center"/>
    </xf>
    <xf numFmtId="9" fontId="35" fillId="0" borderId="35" xfId="0" applyNumberFormat="1" applyFont="1" applyBorder="1" applyAlignment="1">
      <alignment horizontal="center"/>
    </xf>
    <xf numFmtId="9" fontId="35" fillId="0" borderId="0" xfId="0" applyNumberFormat="1" applyFont="1" applyAlignment="1">
      <alignment horizontal="center"/>
    </xf>
    <xf numFmtId="185" fontId="18" fillId="0" borderId="14" xfId="0" applyNumberFormat="1" applyFont="1" applyBorder="1"/>
    <xf numFmtId="185" fontId="11" fillId="0" borderId="0" xfId="1" applyNumberFormat="1" applyFont="1"/>
    <xf numFmtId="199" fontId="48" fillId="0" borderId="0" xfId="0" applyNumberFormat="1" applyFont="1"/>
    <xf numFmtId="185" fontId="17" fillId="0" borderId="1" xfId="0" applyNumberFormat="1" applyFont="1" applyBorder="1"/>
    <xf numFmtId="185" fontId="18" fillId="0" borderId="1" xfId="0" applyNumberFormat="1" applyFont="1" applyBorder="1"/>
    <xf numFmtId="0" fontId="46" fillId="3" borderId="0" xfId="2" applyFont="1" applyFill="1"/>
    <xf numFmtId="170" fontId="35" fillId="0" borderId="0" xfId="1" applyNumberFormat="1" applyFont="1"/>
    <xf numFmtId="170" fontId="34" fillId="0" borderId="0" xfId="0" applyNumberFormat="1" applyFont="1"/>
    <xf numFmtId="1" fontId="34" fillId="0" borderId="0" xfId="0" applyNumberFormat="1" applyFont="1"/>
    <xf numFmtId="0" fontId="34" fillId="0" borderId="0" xfId="5" applyFont="1" applyFill="1"/>
    <xf numFmtId="10" fontId="48" fillId="0" borderId="0" xfId="0" applyNumberFormat="1" applyFont="1" applyAlignment="1">
      <alignment horizontal="center"/>
    </xf>
    <xf numFmtId="185" fontId="34" fillId="0" borderId="44" xfId="0" applyNumberFormat="1" applyFont="1" applyBorder="1"/>
    <xf numFmtId="185" fontId="34" fillId="0" borderId="45" xfId="0" applyNumberFormat="1" applyFont="1" applyBorder="1"/>
    <xf numFmtId="185" fontId="35" fillId="0" borderId="45" xfId="0" applyNumberFormat="1" applyFont="1" applyBorder="1"/>
    <xf numFmtId="185" fontId="35" fillId="0" borderId="46" xfId="0" applyNumberFormat="1" applyFont="1" applyBorder="1"/>
    <xf numFmtId="185" fontId="34" fillId="0" borderId="46" xfId="0" applyNumberFormat="1" applyFont="1" applyBorder="1"/>
    <xf numFmtId="170" fontId="34" fillId="0" borderId="16" xfId="1" applyNumberFormat="1" applyFont="1" applyBorder="1"/>
    <xf numFmtId="170" fontId="34" fillId="0" borderId="0" xfId="1" applyNumberFormat="1" applyFont="1" applyBorder="1"/>
    <xf numFmtId="170" fontId="35" fillId="0" borderId="0" xfId="1" applyNumberFormat="1" applyFont="1" applyBorder="1"/>
    <xf numFmtId="170" fontId="35" fillId="0" borderId="17" xfId="1" applyNumberFormat="1" applyFont="1" applyBorder="1"/>
    <xf numFmtId="184" fontId="34" fillId="0" borderId="17" xfId="0" applyNumberFormat="1" applyFont="1" applyBorder="1"/>
    <xf numFmtId="185" fontId="34" fillId="0" borderId="16" xfId="0" applyNumberFormat="1" applyFont="1" applyBorder="1"/>
    <xf numFmtId="185" fontId="35" fillId="0" borderId="17" xfId="0" applyNumberFormat="1" applyFont="1" applyBorder="1"/>
    <xf numFmtId="185" fontId="34" fillId="0" borderId="17" xfId="0" applyNumberFormat="1" applyFont="1" applyBorder="1"/>
    <xf numFmtId="170" fontId="34" fillId="0" borderId="18" xfId="1" applyNumberFormat="1" applyFont="1" applyBorder="1"/>
    <xf numFmtId="170" fontId="34" fillId="0" borderId="19" xfId="1" applyNumberFormat="1" applyFont="1" applyBorder="1"/>
    <xf numFmtId="170" fontId="35" fillId="0" borderId="19" xfId="1" applyNumberFormat="1" applyFont="1" applyBorder="1"/>
    <xf numFmtId="170" fontId="35" fillId="0" borderId="20" xfId="1" applyNumberFormat="1" applyFont="1" applyBorder="1"/>
    <xf numFmtId="184" fontId="34" fillId="0" borderId="19" xfId="0" applyNumberFormat="1" applyFont="1" applyBorder="1"/>
    <xf numFmtId="184" fontId="34" fillId="0" borderId="20" xfId="0" applyNumberFormat="1" applyFont="1" applyBorder="1"/>
    <xf numFmtId="185" fontId="18" fillId="0" borderId="37" xfId="0" applyNumberFormat="1" applyFont="1" applyBorder="1"/>
    <xf numFmtId="0" fontId="51" fillId="0" borderId="0" xfId="0" applyFont="1"/>
    <xf numFmtId="0" fontId="9" fillId="0" borderId="0" xfId="0" applyFont="1"/>
    <xf numFmtId="0" fontId="34" fillId="0" borderId="38" xfId="0" applyFont="1" applyBorder="1" applyAlignment="1">
      <alignment horizontal="left"/>
    </xf>
    <xf numFmtId="0" fontId="34" fillId="0" borderId="14" xfId="0" applyFont="1" applyBorder="1"/>
    <xf numFmtId="185" fontId="11" fillId="0" borderId="47" xfId="0" applyNumberFormat="1" applyFont="1" applyBorder="1" applyAlignment="1">
      <alignment horizontal="right"/>
    </xf>
    <xf numFmtId="0" fontId="34" fillId="0" borderId="39" xfId="0" applyFont="1" applyBorder="1" applyAlignment="1">
      <alignment horizontal="left"/>
    </xf>
    <xf numFmtId="185" fontId="35" fillId="0" borderId="48" xfId="0" applyNumberFormat="1" applyFont="1" applyBorder="1" applyAlignment="1">
      <alignment horizontal="right"/>
    </xf>
    <xf numFmtId="0" fontId="34" fillId="0" borderId="39" xfId="0" applyFont="1" applyBorder="1"/>
    <xf numFmtId="186" fontId="35" fillId="0" borderId="48" xfId="0" applyNumberFormat="1" applyFont="1" applyBorder="1" applyAlignment="1">
      <alignment horizontal="right"/>
    </xf>
    <xf numFmtId="0" fontId="34" fillId="0" borderId="41" xfId="0" applyFont="1" applyBorder="1"/>
    <xf numFmtId="0" fontId="34" fillId="0" borderId="1" xfId="0" applyFont="1" applyBorder="1"/>
    <xf numFmtId="186" fontId="11" fillId="0" borderId="49" xfId="0" applyNumberFormat="1" applyFont="1" applyBorder="1" applyAlignment="1">
      <alignment horizontal="right"/>
    </xf>
    <xf numFmtId="170" fontId="48" fillId="0" borderId="0" xfId="1" applyNumberFormat="1" applyFont="1"/>
    <xf numFmtId="185" fontId="34" fillId="0" borderId="1" xfId="0" applyNumberFormat="1" applyFont="1" applyBorder="1"/>
    <xf numFmtId="185" fontId="48" fillId="0" borderId="1" xfId="0" applyNumberFormat="1" applyFont="1" applyBorder="1"/>
    <xf numFmtId="197" fontId="35" fillId="0" borderId="0" xfId="0" applyNumberFormat="1" applyFont="1"/>
    <xf numFmtId="197" fontId="11" fillId="0" borderId="0" xfId="0" applyNumberFormat="1" applyFont="1"/>
    <xf numFmtId="184" fontId="35" fillId="0" borderId="0" xfId="0" applyNumberFormat="1" applyFont="1"/>
    <xf numFmtId="184" fontId="11" fillId="0" borderId="0" xfId="0" applyNumberFormat="1" applyFont="1"/>
    <xf numFmtId="0" fontId="52" fillId="0" borderId="0" xfId="0" applyFont="1"/>
    <xf numFmtId="170" fontId="35" fillId="0" borderId="44" xfId="1" applyNumberFormat="1" applyFont="1" applyBorder="1" applyAlignment="1">
      <alignment horizontal="right"/>
    </xf>
    <xf numFmtId="170" fontId="35" fillId="0" borderId="45" xfId="1" applyNumberFormat="1" applyFont="1" applyBorder="1" applyAlignment="1">
      <alignment horizontal="right"/>
    </xf>
    <xf numFmtId="170" fontId="35" fillId="0" borderId="46" xfId="1" applyNumberFormat="1" applyFont="1" applyBorder="1" applyAlignment="1">
      <alignment horizontal="right"/>
    </xf>
    <xf numFmtId="185" fontId="34" fillId="0" borderId="16" xfId="0" applyNumberFormat="1" applyFont="1" applyBorder="1" applyAlignment="1">
      <alignment horizontal="right"/>
    </xf>
    <xf numFmtId="185" fontId="34" fillId="0" borderId="0" xfId="0" applyNumberFormat="1" applyFont="1" applyAlignment="1">
      <alignment horizontal="right"/>
    </xf>
    <xf numFmtId="185" fontId="34" fillId="0" borderId="17" xfId="0" applyNumberFormat="1" applyFont="1" applyBorder="1" applyAlignment="1">
      <alignment horizontal="right"/>
    </xf>
    <xf numFmtId="198" fontId="34" fillId="0" borderId="18" xfId="0" applyNumberFormat="1" applyFont="1" applyBorder="1" applyAlignment="1">
      <alignment horizontal="right"/>
    </xf>
    <xf numFmtId="198" fontId="34" fillId="0" borderId="19" xfId="0" applyNumberFormat="1" applyFont="1" applyBorder="1" applyAlignment="1">
      <alignment horizontal="right"/>
    </xf>
    <xf numFmtId="198" fontId="34" fillId="0" borderId="20" xfId="0" applyNumberFormat="1" applyFont="1" applyBorder="1" applyAlignment="1">
      <alignment horizontal="right"/>
    </xf>
    <xf numFmtId="0" fontId="34" fillId="0" borderId="5" xfId="0" applyFont="1" applyBorder="1" applyAlignment="1">
      <alignment horizontal="center"/>
    </xf>
    <xf numFmtId="9" fontId="35" fillId="0" borderId="36" xfId="0" applyNumberFormat="1" applyFont="1" applyBorder="1" applyAlignment="1">
      <alignment horizontal="center"/>
    </xf>
    <xf numFmtId="197" fontId="35" fillId="0" borderId="0" xfId="1" applyNumberFormat="1" applyFont="1" applyBorder="1" applyAlignment="1">
      <alignment horizontal="right"/>
    </xf>
    <xf numFmtId="197" fontId="34" fillId="0" borderId="0" xfId="0" applyNumberFormat="1" applyFont="1"/>
    <xf numFmtId="0" fontId="53" fillId="0" borderId="0" xfId="0" applyFont="1"/>
    <xf numFmtId="9" fontId="48" fillId="0" borderId="0" xfId="0" applyNumberFormat="1" applyFont="1"/>
    <xf numFmtId="9" fontId="11" fillId="0" borderId="0" xfId="0" applyNumberFormat="1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Continuous"/>
    </xf>
    <xf numFmtId="0" fontId="34" fillId="0" borderId="0" xfId="0" applyFont="1" applyAlignment="1">
      <alignment horizontal="centerContinuous"/>
    </xf>
    <xf numFmtId="14" fontId="35" fillId="0" borderId="11" xfId="0" applyNumberFormat="1" applyFont="1" applyBorder="1"/>
    <xf numFmtId="14" fontId="11" fillId="0" borderId="12" xfId="0" applyNumberFormat="1" applyFont="1" applyBorder="1"/>
    <xf numFmtId="14" fontId="34" fillId="0" borderId="12" xfId="0" applyNumberFormat="1" applyFont="1" applyBorder="1"/>
    <xf numFmtId="14" fontId="34" fillId="0" borderId="13" xfId="0" applyNumberFormat="1" applyFont="1" applyBorder="1"/>
    <xf numFmtId="166" fontId="35" fillId="0" borderId="0" xfId="0" applyNumberFormat="1" applyFont="1"/>
    <xf numFmtId="0" fontId="18" fillId="0" borderId="37" xfId="0" applyFont="1" applyBorder="1" applyAlignment="1">
      <alignment horizontal="center"/>
    </xf>
    <xf numFmtId="0" fontId="34" fillId="0" borderId="37" xfId="0" applyFont="1" applyBorder="1" applyAlignment="1">
      <alignment horizontal="center"/>
    </xf>
    <xf numFmtId="192" fontId="18" fillId="0" borderId="37" xfId="0" applyNumberFormat="1" applyFont="1" applyBorder="1" applyAlignment="1">
      <alignment horizontal="center"/>
    </xf>
    <xf numFmtId="193" fontId="18" fillId="0" borderId="37" xfId="0" applyNumberFormat="1" applyFont="1" applyBorder="1" applyAlignment="1">
      <alignment horizontal="center"/>
    </xf>
    <xf numFmtId="194" fontId="48" fillId="0" borderId="0" xfId="0" applyNumberFormat="1" applyFont="1" applyAlignment="1">
      <alignment horizontal="center"/>
    </xf>
    <xf numFmtId="184" fontId="34" fillId="0" borderId="0" xfId="1" applyNumberFormat="1" applyFont="1" applyAlignment="1">
      <alignment horizontal="center"/>
    </xf>
    <xf numFmtId="166" fontId="34" fillId="0" borderId="0" xfId="0" applyNumberFormat="1" applyFont="1" applyAlignment="1">
      <alignment horizontal="center"/>
    </xf>
    <xf numFmtId="167" fontId="35" fillId="0" borderId="0" xfId="0" applyNumberFormat="1" applyFont="1" applyAlignment="1">
      <alignment horizontal="center"/>
    </xf>
    <xf numFmtId="195" fontId="34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194" fontId="34" fillId="0" borderId="0" xfId="0" applyNumberFormat="1" applyFont="1" applyAlignment="1">
      <alignment horizontal="center"/>
    </xf>
    <xf numFmtId="204" fontId="11" fillId="0" borderId="0" xfId="0" applyNumberFormat="1" applyFont="1"/>
    <xf numFmtId="204" fontId="48" fillId="0" borderId="0" xfId="0" applyNumberFormat="1" applyFont="1"/>
    <xf numFmtId="205" fontId="42" fillId="0" borderId="0" xfId="1" applyNumberFormat="1" applyFont="1"/>
    <xf numFmtId="205" fontId="34" fillId="0" borderId="0" xfId="1" applyNumberFormat="1" applyFont="1"/>
    <xf numFmtId="205" fontId="34" fillId="0" borderId="0" xfId="0" applyNumberFormat="1" applyFont="1"/>
    <xf numFmtId="170" fontId="7" fillId="0" borderId="12" xfId="1" applyNumberFormat="1" applyFont="1" applyBorder="1" applyAlignment="1">
      <alignment horizontal="center"/>
    </xf>
    <xf numFmtId="170" fontId="7" fillId="0" borderId="13" xfId="1" applyNumberFormat="1" applyFont="1" applyBorder="1" applyAlignment="1">
      <alignment horizontal="center"/>
    </xf>
    <xf numFmtId="184" fontId="35" fillId="0" borderId="0" xfId="1" applyNumberFormat="1" applyFont="1"/>
    <xf numFmtId="185" fontId="34" fillId="8" borderId="0" xfId="0" applyNumberFormat="1" applyFont="1" applyFill="1"/>
    <xf numFmtId="185" fontId="48" fillId="8" borderId="0" xfId="0" applyNumberFormat="1" applyFont="1" applyFill="1"/>
    <xf numFmtId="185" fontId="18" fillId="8" borderId="0" xfId="0" applyNumberFormat="1" applyFont="1" applyFill="1"/>
    <xf numFmtId="2" fontId="43" fillId="0" borderId="0" xfId="0" applyNumberFormat="1" applyFont="1" applyAlignment="1">
      <alignment horizontal="center"/>
    </xf>
    <xf numFmtId="0" fontId="42" fillId="0" borderId="0" xfId="0" applyFont="1" applyAlignment="1">
      <alignment horizontal="left"/>
    </xf>
    <xf numFmtId="9" fontId="42" fillId="0" borderId="0" xfId="1" applyFont="1"/>
    <xf numFmtId="0" fontId="0" fillId="0" borderId="1" xfId="0" applyBorder="1" applyAlignment="1">
      <alignment horizontal="left"/>
    </xf>
    <xf numFmtId="0" fontId="55" fillId="0" borderId="0" xfId="0" applyFont="1"/>
    <xf numFmtId="200" fontId="48" fillId="0" borderId="0" xfId="0" applyNumberFormat="1" applyFont="1" applyAlignment="1">
      <alignment horizontal="right"/>
    </xf>
    <xf numFmtId="166" fontId="0" fillId="0" borderId="50" xfId="0" applyNumberFormat="1" applyBorder="1" applyAlignment="1">
      <alignment horizontal="center"/>
    </xf>
    <xf numFmtId="166" fontId="0" fillId="0" borderId="51" xfId="0" applyNumberFormat="1" applyBorder="1" applyAlignment="1">
      <alignment horizontal="center"/>
    </xf>
    <xf numFmtId="166" fontId="0" fillId="0" borderId="52" xfId="0" applyNumberFormat="1" applyBorder="1" applyAlignment="1">
      <alignment horizontal="center"/>
    </xf>
    <xf numFmtId="170" fontId="0" fillId="0" borderId="50" xfId="1" applyNumberFormat="1" applyFont="1" applyBorder="1" applyAlignment="1">
      <alignment horizontal="center"/>
    </xf>
    <xf numFmtId="170" fontId="0" fillId="0" borderId="51" xfId="1" applyNumberFormat="1" applyFont="1" applyBorder="1" applyAlignment="1">
      <alignment horizontal="center"/>
    </xf>
    <xf numFmtId="170" fontId="2" fillId="0" borderId="51" xfId="1" applyNumberFormat="1" applyFont="1" applyBorder="1" applyAlignment="1">
      <alignment horizontal="center"/>
    </xf>
    <xf numFmtId="170" fontId="0" fillId="0" borderId="52" xfId="1" applyNumberFormat="1" applyFont="1" applyBorder="1" applyAlignment="1">
      <alignment horizontal="center"/>
    </xf>
    <xf numFmtId="170" fontId="56" fillId="0" borderId="0" xfId="0" applyNumberFormat="1" applyFont="1"/>
    <xf numFmtId="201" fontId="56" fillId="0" borderId="0" xfId="0" applyNumberFormat="1" applyFont="1"/>
    <xf numFmtId="0" fontId="57" fillId="0" borderId="0" xfId="0" applyFont="1" applyAlignment="1">
      <alignment horizontal="center"/>
    </xf>
    <xf numFmtId="0" fontId="37" fillId="0" borderId="1" xfId="0" applyFont="1" applyBorder="1" applyAlignment="1">
      <alignment horizontal="centerContinuous"/>
    </xf>
    <xf numFmtId="200" fontId="12" fillId="0" borderId="0" xfId="0" applyNumberFormat="1" applyFont="1"/>
    <xf numFmtId="166" fontId="58" fillId="0" borderId="0" xfId="0" applyNumberFormat="1" applyFont="1" applyAlignment="1">
      <alignment horizontal="right"/>
    </xf>
    <xf numFmtId="0" fontId="56" fillId="0" borderId="0" xfId="0" applyFont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37" xfId="0" applyBorder="1"/>
    <xf numFmtId="0" fontId="0" fillId="0" borderId="59" xfId="0" applyBorder="1"/>
    <xf numFmtId="0" fontId="61" fillId="0" borderId="0" xfId="0" applyFont="1" applyAlignment="1">
      <alignment horizontal="centerContinuous"/>
    </xf>
    <xf numFmtId="0" fontId="24" fillId="0" borderId="37" xfId="6" applyBorder="1"/>
    <xf numFmtId="0" fontId="24" fillId="0" borderId="0" xfId="6" applyBorder="1"/>
    <xf numFmtId="9" fontId="39" fillId="0" borderId="0" xfId="1" applyFont="1" applyAlignment="1">
      <alignment horizontal="center"/>
    </xf>
    <xf numFmtId="0" fontId="3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206" fontId="54" fillId="0" borderId="0" xfId="1" applyNumberFormat="1" applyFont="1" applyAlignment="1">
      <alignment horizontal="center"/>
    </xf>
    <xf numFmtId="170" fontId="54" fillId="0" borderId="0" xfId="0" applyNumberFormat="1" applyFont="1" applyAlignment="1">
      <alignment horizontal="center"/>
    </xf>
    <xf numFmtId="201" fontId="5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19" fillId="0" borderId="0" xfId="0" applyFont="1" applyAlignment="1">
      <alignment horizontal="left"/>
    </xf>
    <xf numFmtId="0" fontId="0" fillId="0" borderId="0" xfId="0" applyFill="1"/>
  </cellXfs>
  <cellStyles count="13">
    <cellStyle name="20% - Accent3" xfId="2" builtinId="38"/>
    <cellStyle name="Comma 2" xfId="9" xr:uid="{C317AE68-E81E-421F-BDBB-827F9232C72C}"/>
    <cellStyle name="Comma 3" xfId="4" xr:uid="{DAEC8194-9145-4AEB-8CF8-D9051A9AAC40}"/>
    <cellStyle name="Comma 3 2" xfId="8" xr:uid="{A662EE5A-300B-47D5-BA1B-2259215C3DE8}"/>
    <cellStyle name="Comma 3 3" xfId="7" xr:uid="{ACC4D0EB-277D-4705-9125-9BDCE0C20CA5}"/>
    <cellStyle name="Hyperlink" xfId="6" builtinId="8"/>
    <cellStyle name="Neutral" xfId="5" builtinId="28"/>
    <cellStyle name="Normal" xfId="0" builtinId="0"/>
    <cellStyle name="Normal 2" xfId="3" xr:uid="{910A9C35-B922-4148-AFE9-A6A1BB101D3F}"/>
    <cellStyle name="Normal 2 2 2" xfId="12" xr:uid="{0B5C0144-D5E3-4F99-AFA3-44F783B570FE}"/>
    <cellStyle name="Normal 3" xfId="11" xr:uid="{14DFDBCB-C3E7-4770-AEC1-1A5B86DC87BF}"/>
    <cellStyle name="Percent" xfId="1" builtinId="5"/>
    <cellStyle name="Percent 2" xfId="10" xr:uid="{583583BA-36F9-4F33-97A0-4A564788DEFC}"/>
  </cellStyles>
  <dxfs count="2">
    <dxf>
      <font>
        <b val="0"/>
        <i/>
        <color rgb="FF00B050"/>
      </font>
      <numFmt numFmtId="207" formatCode="&quot;OK&quot;"/>
    </dxf>
    <dxf>
      <font>
        <b/>
        <i val="0"/>
        <color theme="0"/>
      </font>
      <numFmt numFmtId="208" formatCode="&quot;ERROR&quot;"/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F711FC"/>
      <color rgb="FFF199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Outputs!$Q$100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Outputs!$P$101:$P$106</c:f>
              <c:strCache>
                <c:ptCount val="6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</c:strCache>
            </c:strRef>
          </c:cat>
          <c:val>
            <c:numRef>
              <c:f>Outputs!$Q$101:$Q$106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4203-438A-901C-5D0BAC671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9337792"/>
        <c:axId val="1549347872"/>
      </c:barChart>
      <c:barChart>
        <c:barDir val="col"/>
        <c:grouping val="clustered"/>
        <c:varyColors val="0"/>
        <c:ser>
          <c:idx val="2"/>
          <c:order val="2"/>
          <c:tx>
            <c:strRef>
              <c:f>Outputs!$S$100</c:f>
              <c:strCache>
                <c:ptCount val="1"/>
                <c:pt idx="0">
                  <c:v>MOIC</c:v>
                </c:pt>
              </c:strCache>
            </c:strRef>
          </c:tx>
          <c:spPr>
            <a:solidFill>
              <a:srgbClr val="F711FC"/>
            </a:solidFill>
            <a:ln>
              <a:noFill/>
            </a:ln>
            <a:effectLst/>
          </c:spPr>
          <c:invertIfNegative val="0"/>
          <c:cat>
            <c:strRef>
              <c:f>Outputs!$P$101:$P$106</c:f>
              <c:strCache>
                <c:ptCount val="6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</c:strCache>
            </c:strRef>
          </c:cat>
          <c:val>
            <c:numRef>
              <c:f>Outputs!$S$101:$S$106</c:f>
              <c:numCache>
                <c:formatCode>_(0.0\x_);\(0.0\x\);"-"</c:formatCode>
                <c:ptCount val="6"/>
                <c:pt idx="0">
                  <c:v>1.1954770445330065</c:v>
                </c:pt>
                <c:pt idx="1">
                  <c:v>1.4579848895777625</c:v>
                </c:pt>
                <c:pt idx="2">
                  <c:v>1.7867046103954611</c:v>
                </c:pt>
                <c:pt idx="3">
                  <c:v>2.1494417036260427</c:v>
                </c:pt>
                <c:pt idx="4">
                  <c:v>2.5470668500452867</c:v>
                </c:pt>
                <c:pt idx="5">
                  <c:v>2.9793709644434681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03-438A-901C-5D0BAC671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5991808"/>
        <c:axId val="1505991328"/>
      </c:barChart>
      <c:lineChart>
        <c:grouping val="standard"/>
        <c:varyColors val="0"/>
        <c:ser>
          <c:idx val="1"/>
          <c:order val="1"/>
          <c:tx>
            <c:strRef>
              <c:f>Outputs!$R$100</c:f>
              <c:strCache>
                <c:ptCount val="1"/>
                <c:pt idx="0">
                  <c:v>IRR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Ref>
              <c:f>Outputs!$P$101:$P$106</c:f>
              <c:strCache>
                <c:ptCount val="6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</c:strCache>
            </c:strRef>
          </c:cat>
          <c:val>
            <c:numRef>
              <c:f>Outputs!$R$101:$R$106</c:f>
              <c:numCache>
                <c:formatCode>0.0%</c:formatCode>
                <c:ptCount val="6"/>
                <c:pt idx="0">
                  <c:v>0.10719148516654969</c:v>
                </c:pt>
                <c:pt idx="1">
                  <c:v>0.14660379290580752</c:v>
                </c:pt>
                <c:pt idx="2">
                  <c:v>0.1670884191989899</c:v>
                </c:pt>
                <c:pt idx="3">
                  <c:v>0.17455300688743591</c:v>
                </c:pt>
                <c:pt idx="4">
                  <c:v>0.17635956406593326</c:v>
                </c:pt>
                <c:pt idx="5">
                  <c:v>0.17529839873313907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03-438A-901C-5D0BAC671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9337792"/>
        <c:axId val="1549347872"/>
      </c:lineChart>
      <c:catAx>
        <c:axId val="154933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9347872"/>
        <c:crosses val="autoZero"/>
        <c:auto val="1"/>
        <c:lblAlgn val="ctr"/>
        <c:lblOffset val="100"/>
        <c:noMultiLvlLbl val="0"/>
      </c:catAx>
      <c:valAx>
        <c:axId val="15493478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9337792"/>
        <c:crosses val="autoZero"/>
        <c:crossBetween val="between"/>
      </c:valAx>
      <c:valAx>
        <c:axId val="1505991328"/>
        <c:scaling>
          <c:orientation val="minMax"/>
        </c:scaling>
        <c:delete val="0"/>
        <c:axPos val="r"/>
        <c:numFmt formatCode="_(0.0\x_);\(0.0\x\);&quot;-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5991808"/>
        <c:crosses val="max"/>
        <c:crossBetween val="between"/>
      </c:valAx>
      <c:catAx>
        <c:axId val="1505991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05991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15031296051379109"/>
          <c:y val="5.9972374936171878E-2"/>
          <c:w val="0.30920564235472819"/>
          <c:h val="8.8682413559950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'Additional Data'!$O$6</c:f>
              <c:strCache>
                <c:ptCount val="1"/>
                <c:pt idx="0">
                  <c:v>FY2024</c:v>
                </c:pt>
              </c:strCache>
            </c:strRef>
          </c:tx>
          <c:spPr>
            <a:solidFill>
              <a:srgbClr val="7030A0"/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426-45B7-B2D4-C8359B3A74C6}"/>
              </c:ext>
            </c:extLst>
          </c:dPt>
          <c:dPt>
            <c:idx val="1"/>
            <c:bubble3D val="0"/>
            <c:spPr>
              <a:solidFill>
                <a:srgbClr val="F711F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426-45B7-B2D4-C8359B3A74C6}"/>
              </c:ext>
            </c:extLst>
          </c:dPt>
          <c:dPt>
            <c:idx val="2"/>
            <c:bubble3D val="0"/>
            <c:spPr>
              <a:solidFill>
                <a:srgbClr val="F199E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426-45B7-B2D4-C8359B3A74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'Additional Data'!$N$7:$N$9</c:f>
              <c:strCache>
                <c:ptCount val="3"/>
                <c:pt idx="0">
                  <c:v>Recurring Revenue (excl. Float)</c:v>
                </c:pt>
                <c:pt idx="1">
                  <c:v>Recurring Float </c:v>
                </c:pt>
                <c:pt idx="2">
                  <c:v>Professional Services</c:v>
                </c:pt>
              </c:strCache>
            </c:strRef>
          </c:cat>
          <c:val>
            <c:numRef>
              <c:f>'Additional Data'!$O$7:$O$9</c:f>
              <c:numCache>
                <c:formatCode>General</c:formatCode>
                <c:ptCount val="3"/>
                <c:pt idx="0">
                  <c:v>1318.3</c:v>
                </c:pt>
                <c:pt idx="1">
                  <c:v>199</c:v>
                </c:pt>
                <c:pt idx="2">
                  <c:v>242.7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26-45B7-B2D4-C8359B3A74C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93429941346363"/>
          <c:y val="0.85069335083114606"/>
          <c:w val="0.52325805052260532"/>
          <c:h val="0.1493067589317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250-4F84-AE56-2B38C551C1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250-4F84-AE56-2B38C551C1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250-4F84-AE56-2B38C551C1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'Additional Data'!$R$7:$R$9</c:f>
              <c:strCache>
                <c:ptCount val="3"/>
                <c:pt idx="0">
                  <c:v>Dayforce Platform</c:v>
                </c:pt>
                <c:pt idx="1">
                  <c:v>Powerpay (Canadian SME)</c:v>
                </c:pt>
                <c:pt idx="2">
                  <c:v>Other Solutions</c:v>
                </c:pt>
              </c:strCache>
            </c:strRef>
          </c:cat>
          <c:val>
            <c:numRef>
              <c:f>'Additional Data'!$S$7:$S$9</c:f>
              <c:numCache>
                <c:formatCode>General</c:formatCode>
                <c:ptCount val="3"/>
                <c:pt idx="0">
                  <c:v>1573.7</c:v>
                </c:pt>
                <c:pt idx="1">
                  <c:v>102.9</c:v>
                </c:pt>
                <c:pt idx="2">
                  <c:v>83.4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1-41C3-8712-B26D9356F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500" b="1">
                <a:solidFill>
                  <a:sysClr val="windowText" lastClr="000000"/>
                </a:solidFill>
              </a:rPr>
              <a:t>Global HCM Software Market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'Additional Data'!$E$33</c:f>
              <c:strCache>
                <c:ptCount val="1"/>
                <c:pt idx="0">
                  <c:v>HCM Software Market Size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'Additional Data'!$F$32:$G$32</c:f>
              <c:numCache>
                <c:formatCode>General</c:formatCode>
                <c:ptCount val="2"/>
                <c:pt idx="0">
                  <c:v>2024</c:v>
                </c:pt>
                <c:pt idx="1">
                  <c:v>2029</c:v>
                </c:pt>
              </c:numCache>
            </c:numRef>
          </c:cat>
          <c:val>
            <c:numRef>
              <c:f>'Additional Data'!$F$33:$G$33</c:f>
              <c:numCache>
                <c:formatCode>General</c:formatCode>
                <c:ptCount val="2"/>
                <c:pt idx="0">
                  <c:v>58.7</c:v>
                </c:pt>
                <c:pt idx="1">
                  <c:v>81.057000000000002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989-BED9-A4BB07522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6744032"/>
        <c:axId val="766740792"/>
      </c:barChart>
      <c:catAx>
        <c:axId val="76674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6740792"/>
        <c:crosses val="autoZero"/>
        <c:auto val="1"/>
        <c:lblAlgn val="ctr"/>
        <c:lblOffset val="100"/>
        <c:noMultiLvlLbl val="0"/>
      </c:catAx>
      <c:valAx>
        <c:axId val="766740792"/>
        <c:scaling>
          <c:orientation val="minMax"/>
          <c:min val="40"/>
        </c:scaling>
        <c:delete val="0"/>
        <c:axPos val="l"/>
        <c:numFmt formatCode="\$0&quot;b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674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'Additional Data'!$K$33</c:f>
              <c:strCache>
                <c:ptCount val="1"/>
                <c:pt idx="0">
                  <c:v>SaaS Market Size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'Additional Data'!$L$32:$M$32</c:f>
              <c:numCache>
                <c:formatCode>General</c:formatCode>
                <c:ptCount val="2"/>
                <c:pt idx="0">
                  <c:v>2025</c:v>
                </c:pt>
                <c:pt idx="1">
                  <c:v>2030</c:v>
                </c:pt>
              </c:numCache>
            </c:numRef>
          </c:cat>
          <c:val>
            <c:numRef>
              <c:f>'Additional Data'!$L$33:$M$33</c:f>
              <c:numCache>
                <c:formatCode>General</c:formatCode>
                <c:ptCount val="2"/>
                <c:pt idx="0">
                  <c:v>428.78</c:v>
                </c:pt>
                <c:pt idx="1">
                  <c:v>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E-4F1A-A564-2A35CA108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2657016"/>
        <c:axId val="632450888"/>
      </c:barChart>
      <c:catAx>
        <c:axId val="632657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450888"/>
        <c:crosses val="autoZero"/>
        <c:auto val="1"/>
        <c:lblAlgn val="ctr"/>
        <c:lblOffset val="100"/>
        <c:noMultiLvlLbl val="0"/>
      </c:catAx>
      <c:valAx>
        <c:axId val="632450888"/>
        <c:scaling>
          <c:orientation val="minMax"/>
          <c:min val="200"/>
        </c:scaling>
        <c:delete val="0"/>
        <c:axPos val="l"/>
        <c:numFmt formatCode="\$0&quot;b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657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'CapIQ Financial Highlights'!$K$14</c:f>
              <c:strCache>
                <c:ptCount val="1"/>
                <c:pt idx="0">
                  <c:v>Unlevered Free Cash Flow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'CapIQ Financial Highlights'!$L$13:$Q$13</c:f>
              <c:numCache>
                <c:formatCode>0"FY"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'CapIQ Financial Highlights'!$L$14:$Q$14</c:f>
              <c:numCache>
                <c:formatCode>#,##0;[Red]\(#,##0\)</c:formatCode>
                <c:ptCount val="6"/>
                <c:pt idx="0">
                  <c:v>43537.5</c:v>
                </c:pt>
                <c:pt idx="1">
                  <c:v>-27037.5</c:v>
                </c:pt>
                <c:pt idx="2">
                  <c:v>120162.5</c:v>
                </c:pt>
                <c:pt idx="3">
                  <c:v>227012.5</c:v>
                </c:pt>
                <c:pt idx="4">
                  <c:v>120600</c:v>
                </c:pt>
                <c:pt idx="5">
                  <c:v>281550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3-430E-835E-7E73F6865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8162688"/>
        <c:axId val="798161608"/>
      </c:barChart>
      <c:catAx>
        <c:axId val="798162688"/>
        <c:scaling>
          <c:orientation val="minMax"/>
        </c:scaling>
        <c:delete val="0"/>
        <c:axPos val="b"/>
        <c:numFmt formatCode="0&quot;FY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161608"/>
        <c:crosses val="autoZero"/>
        <c:auto val="1"/>
        <c:lblAlgn val="ctr"/>
        <c:lblOffset val="100"/>
        <c:noMultiLvlLbl val="0"/>
      </c:catAx>
      <c:valAx>
        <c:axId val="798161608"/>
        <c:scaling>
          <c:orientation val="minMax"/>
        </c:scaling>
        <c:delete val="0"/>
        <c:axPos val="l"/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16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Outputs!$B$47</c:f>
              <c:strCache>
                <c:ptCount val="1"/>
                <c:pt idx="0">
                  <c:v>Recurring Revenue (excl. float)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Outputs!$J$47:$P$47</c:f>
              <c:numCache>
                <c:formatCode>#,##0</c:formatCode>
                <c:ptCount val="7"/>
                <c:pt idx="0">
                  <c:v>1277.2469527365636</c:v>
                </c:pt>
                <c:pt idx="1">
                  <c:v>1920.3147158151464</c:v>
                </c:pt>
                <c:pt idx="2">
                  <c:v>2151.6840999664773</c:v>
                </c:pt>
                <c:pt idx="3">
                  <c:v>2395.6330033247755</c:v>
                </c:pt>
                <c:pt idx="4">
                  <c:v>2650.2448742800416</c:v>
                </c:pt>
                <c:pt idx="5">
                  <c:v>2913.1564407406026</c:v>
                </c:pt>
                <c:pt idx="6">
                  <c:v>3181.5718489133515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2-4B0E-88BC-14ECACC0BF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5078464"/>
        <c:axId val="1505078944"/>
      </c:barChart>
      <c:catAx>
        <c:axId val="1505078464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5078944"/>
        <c:crosses val="autoZero"/>
        <c:auto val="1"/>
        <c:lblAlgn val="ctr"/>
        <c:lblOffset val="100"/>
        <c:noMultiLvlLbl val="0"/>
      </c:catAx>
      <c:valAx>
        <c:axId val="1505078944"/>
        <c:scaling>
          <c:orientation val="minMax"/>
        </c:scaling>
        <c:delete val="0"/>
        <c:axPos val="l"/>
        <c:numFmt formatCode="\$#,##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50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ARPU </a:t>
            </a:r>
            <a:r>
              <a:rPr lang="en-US" b="1" baseline="0">
                <a:solidFill>
                  <a:sysClr val="windowText" lastClr="000000"/>
                </a:solidFill>
              </a:rPr>
              <a:t>(1000s)</a:t>
            </a:r>
            <a:r>
              <a:rPr lang="en-US" b="1">
                <a:solidFill>
                  <a:sysClr val="windowText" lastClr="000000"/>
                </a:solidFill>
              </a:rPr>
              <a:t> and Client</a:t>
            </a:r>
            <a:r>
              <a:rPr lang="en-US" b="1" baseline="0">
                <a:solidFill>
                  <a:sysClr val="windowText" lastClr="000000"/>
                </a:solidFill>
              </a:rPr>
              <a:t> Count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Outputs!$B$49</c:f>
              <c:strCache>
                <c:ptCount val="1"/>
                <c:pt idx="0">
                  <c:v>Client Count</c:v>
                </c:pt>
              </c:strCache>
            </c:strRef>
          </c:tx>
          <c:spPr>
            <a:solidFill>
              <a:srgbClr val="F711FC"/>
            </a:solidFill>
            <a:ln>
              <a:noFill/>
            </a:ln>
            <a:effectLst/>
          </c:spPr>
          <c:invertIfNegative val="0"/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Outputs!$J$49:$P$49</c:f>
              <c:numCache>
                <c:formatCode>#,##0</c:formatCode>
                <c:ptCount val="7"/>
                <c:pt idx="0">
                  <c:v>7395.137999999999</c:v>
                </c:pt>
                <c:pt idx="1">
                  <c:v>7748.9229342857143</c:v>
                </c:pt>
                <c:pt idx="2">
                  <c:v>8108.5668941387748</c:v>
                </c:pt>
                <c:pt idx="3">
                  <c:v>8473.3229779281864</c:v>
                </c:pt>
                <c:pt idx="4">
                  <c:v>8842.3866512106142</c:v>
                </c:pt>
                <c:pt idx="5">
                  <c:v>9214.8975853580177</c:v>
                </c:pt>
                <c:pt idx="6">
                  <c:v>9589.941982533961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71-4691-92DE-11937DA3C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07357056"/>
        <c:axId val="1507358496"/>
      </c:barChart>
      <c:lineChart>
        <c:grouping val="standard"/>
        <c:varyColors val="0"/>
        <c:ser>
          <c:idx val="0"/>
          <c:order val="0"/>
          <c:tx>
            <c:strRef>
              <c:f>Outputs!$B$48</c:f>
              <c:strCache>
                <c:ptCount val="1"/>
                <c:pt idx="0">
                  <c:v>Ending ARPU 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>
                    <a:alpha val="93000"/>
                  </a:srgbClr>
                </a:solidFill>
              </a:ln>
              <a:effectLst/>
            </c:spPr>
          </c:marker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Outputs!$J$48:$P$48</c:f>
              <c:numCache>
                <c:formatCode>#,##0</c:formatCode>
                <c:ptCount val="7"/>
                <c:pt idx="0">
                  <c:v>225.347905755727</c:v>
                </c:pt>
                <c:pt idx="1">
                  <c:v>242.62753531418832</c:v>
                </c:pt>
                <c:pt idx="2">
                  <c:v>259.93751297413138</c:v>
                </c:pt>
                <c:pt idx="3">
                  <c:v>277.09543521032515</c:v>
                </c:pt>
                <c:pt idx="4">
                  <c:v>293.90734591780813</c:v>
                </c:pt>
                <c:pt idx="5">
                  <c:v>310.1709903286814</c:v>
                </c:pt>
                <c:pt idx="6">
                  <c:v>325.67953984511553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71-4691-92DE-11937DA3C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314576"/>
        <c:axId val="66323696"/>
      </c:lineChart>
      <c:catAx>
        <c:axId val="66314576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323696"/>
        <c:crosses val="autoZero"/>
        <c:auto val="1"/>
        <c:lblAlgn val="ctr"/>
        <c:lblOffset val="100"/>
        <c:noMultiLvlLbl val="0"/>
      </c:catAx>
      <c:valAx>
        <c:axId val="66323696"/>
        <c:scaling>
          <c:orientation val="minMax"/>
          <c:min val="200"/>
        </c:scaling>
        <c:delete val="0"/>
        <c:axPos val="l"/>
        <c:numFmt formatCode="\$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314576"/>
        <c:crosses val="autoZero"/>
        <c:crossBetween val="between"/>
      </c:valAx>
      <c:valAx>
        <c:axId val="1507358496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7357056"/>
        <c:crosses val="max"/>
        <c:crossBetween val="between"/>
      </c:valAx>
      <c:catAx>
        <c:axId val="1507357056"/>
        <c:scaling>
          <c:orientation val="minMax"/>
        </c:scaling>
        <c:delete val="1"/>
        <c:axPos val="b"/>
        <c:numFmt formatCode="0&quot;E&quot;" sourceLinked="1"/>
        <c:majorTickMark val="out"/>
        <c:minorTickMark val="none"/>
        <c:tickLblPos val="nextTo"/>
        <c:crossAx val="15073584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373889478480964"/>
          <c:y val="0.2043734157022655"/>
          <c:w val="0.42392537778884437"/>
          <c:h val="8.5043753204309139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ysClr val="windowText" lastClr="000000"/>
                </a:solidFill>
              </a:rPr>
              <a:t>Credit Metrics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Outputs!$B$58</c:f>
              <c:strCache>
                <c:ptCount val="1"/>
                <c:pt idx="0">
                  <c:v>Total Debt/EBITDA</c:v>
                </c:pt>
              </c:strCache>
            </c:strRef>
          </c:tx>
          <c:spPr>
            <a:ln w="28575" cap="rnd">
              <a:solidFill>
                <a:srgbClr val="F711F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F711FC"/>
                </a:solidFill>
              </a:ln>
              <a:effectLst/>
            </c:spPr>
          </c:marker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Outputs!$J$58:$P$58</c:f>
              <c:numCache>
                <c:formatCode>_(0.0\x_);\(0.0\x\);"-"</c:formatCode>
                <c:ptCount val="7"/>
                <c:pt idx="0">
                  <c:v>6.4612570256589166</c:v>
                </c:pt>
                <c:pt idx="1">
                  <c:v>5.2852224810077164</c:v>
                </c:pt>
                <c:pt idx="2">
                  <c:v>4.2544622340334151</c:v>
                </c:pt>
                <c:pt idx="3">
                  <c:v>3.2409894290279095</c:v>
                </c:pt>
                <c:pt idx="4">
                  <c:v>2.3236755304338366</c:v>
                </c:pt>
                <c:pt idx="5">
                  <c:v>1.4851324903941119</c:v>
                </c:pt>
                <c:pt idx="6">
                  <c:v>0.71360508212597751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D7-4294-9B76-A73CC49B6BBE}"/>
            </c:ext>
          </c:extLst>
        </c:ser>
        <c:ser>
          <c:idx val="2"/>
          <c:order val="1"/>
          <c:tx>
            <c:strRef>
              <c:f>Outputs!$B$59</c:f>
              <c:strCache>
                <c:ptCount val="1"/>
                <c:pt idx="0">
                  <c:v>Debt Service Coverage Ratio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Outputs!$J$59:$P$59</c:f>
              <c:numCache>
                <c:formatCode>_(0.0\x_);\(0.0\x\);"-"</c:formatCode>
                <c:ptCount val="7"/>
                <c:pt idx="0">
                  <c:v>0.36485011384508942</c:v>
                </c:pt>
                <c:pt idx="1">
                  <c:v>0.8070528134081546</c:v>
                </c:pt>
                <c:pt idx="2">
                  <c:v>0.90352998569727649</c:v>
                </c:pt>
                <c:pt idx="3">
                  <c:v>1.0839388317181204</c:v>
                </c:pt>
                <c:pt idx="4">
                  <c:v>1.0999681267512016</c:v>
                </c:pt>
                <c:pt idx="5">
                  <c:v>1.1197591423960052</c:v>
                </c:pt>
                <c:pt idx="6">
                  <c:v>1.84463105308571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D7-4294-9B76-A73CC49B6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191264"/>
        <c:axId val="206185984"/>
      </c:lineChart>
      <c:catAx>
        <c:axId val="206191264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185984"/>
        <c:crosses val="autoZero"/>
        <c:auto val="1"/>
        <c:lblAlgn val="ctr"/>
        <c:lblOffset val="100"/>
        <c:noMultiLvlLbl val="0"/>
      </c:catAx>
      <c:valAx>
        <c:axId val="206185984"/>
        <c:scaling>
          <c:orientation val="minMax"/>
        </c:scaling>
        <c:delete val="0"/>
        <c:axPos val="l"/>
        <c:numFmt formatCode="_(0.0\x_);\(0.0\x\);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19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Outputs!$B$55</c:f>
              <c:strCache>
                <c:ptCount val="1"/>
                <c:pt idx="0">
                  <c:v>Total Debt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Outputs!$J$55:$P$55</c:f>
              <c:numCache>
                <c:formatCode>#,##0</c:formatCode>
                <c:ptCount val="7"/>
                <c:pt idx="0">
                  <c:v>4877.194046040363</c:v>
                </c:pt>
                <c:pt idx="1">
                  <c:v>4532.2251014744334</c:v>
                </c:pt>
                <c:pt idx="2">
                  <c:v>4119.3578302177784</c:v>
                </c:pt>
                <c:pt idx="3">
                  <c:v>3585.5361522770327</c:v>
                </c:pt>
                <c:pt idx="4">
                  <c:v>2917.7943261775285</c:v>
                </c:pt>
                <c:pt idx="5">
                  <c:v>2102.7556868567699</c:v>
                </c:pt>
                <c:pt idx="6">
                  <c:v>1131.8562489497631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00-46F5-B104-CE6CF63CA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177984"/>
        <c:axId val="58180384"/>
      </c:barChart>
      <c:catAx>
        <c:axId val="58177984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80384"/>
        <c:crosses val="autoZero"/>
        <c:auto val="1"/>
        <c:lblAlgn val="ctr"/>
        <c:lblOffset val="100"/>
        <c:noMultiLvlLbl val="0"/>
      </c:catAx>
      <c:valAx>
        <c:axId val="58180384"/>
        <c:scaling>
          <c:orientation val="minMax"/>
        </c:scaling>
        <c:delete val="0"/>
        <c:axPos val="l"/>
        <c:numFmt formatCode="\$#,###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7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Outputs!$B$35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Outputs!$J$35:$P$35</c:f>
              <c:numCache>
                <c:formatCode>_(#,##0_);\(#,##0\);"-";@</c:formatCode>
                <c:ptCount val="7"/>
                <c:pt idx="0">
                  <c:v>567.11848095810683</c:v>
                </c:pt>
                <c:pt idx="1">
                  <c:v>857.52778010024065</c:v>
                </c:pt>
                <c:pt idx="2">
                  <c:v>968.24407025290429</c:v>
                </c:pt>
                <c:pt idx="3">
                  <c:v>1106.3091166429583</c:v>
                </c:pt>
                <c:pt idx="4">
                  <c:v>1255.6806180391152</c:v>
                </c:pt>
                <c:pt idx="5">
                  <c:v>1415.8707727811936</c:v>
                </c:pt>
                <c:pt idx="6">
                  <c:v>1586.1101291175346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59-4BF8-A33B-F2AFCA6A2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4563120"/>
        <c:axId val="234576080"/>
      </c:barChart>
      <c:lineChart>
        <c:grouping val="standard"/>
        <c:varyColors val="0"/>
        <c:ser>
          <c:idx val="1"/>
          <c:order val="1"/>
          <c:tx>
            <c:strRef>
              <c:f>Outputs!$B$41</c:f>
              <c:strCache>
                <c:ptCount val="1"/>
                <c:pt idx="0">
                  <c:v>EBITDA Margin (% of Revenue)</c:v>
                </c:pt>
              </c:strCache>
            </c:strRef>
          </c:tx>
          <c:spPr>
            <a:ln w="28575" cap="rnd">
              <a:solidFill>
                <a:srgbClr val="F711F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Outputs!$J$41:$P$41</c:f>
              <c:numCache>
                <c:formatCode>0.0%</c:formatCode>
                <c:ptCount val="7"/>
                <c:pt idx="0">
                  <c:v>0.33865243048697879</c:v>
                </c:pt>
                <c:pt idx="1">
                  <c:v>0.34146762194516744</c:v>
                </c:pt>
                <c:pt idx="2">
                  <c:v>0.34473690914149158</c:v>
                </c:pt>
                <c:pt idx="3">
                  <c:v>0.35438303490681544</c:v>
                </c:pt>
                <c:pt idx="4">
                  <c:v>0.36412977018056514</c:v>
                </c:pt>
                <c:pt idx="5">
                  <c:v>0.37399427253517881</c:v>
                </c:pt>
                <c:pt idx="6">
                  <c:v>0.38399039576262095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59-4BF8-A33B-F2AFCA6A2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565040"/>
        <c:axId val="234575600"/>
      </c:lineChart>
      <c:catAx>
        <c:axId val="234563120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576080"/>
        <c:crosses val="autoZero"/>
        <c:auto val="1"/>
        <c:lblAlgn val="ctr"/>
        <c:lblOffset val="100"/>
        <c:noMultiLvlLbl val="0"/>
      </c:catAx>
      <c:valAx>
        <c:axId val="234576080"/>
        <c:scaling>
          <c:orientation val="minMax"/>
          <c:min val="400"/>
        </c:scaling>
        <c:delete val="0"/>
        <c:axPos val="l"/>
        <c:numFmt formatCode="\$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563120"/>
        <c:crosses val="autoZero"/>
        <c:crossBetween val="between"/>
      </c:valAx>
      <c:valAx>
        <c:axId val="234575600"/>
        <c:scaling>
          <c:orientation val="minMax"/>
          <c:min val="0.32000000000000006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565040"/>
        <c:crosses val="max"/>
        <c:crossBetween val="between"/>
      </c:valAx>
      <c:catAx>
        <c:axId val="234565040"/>
        <c:scaling>
          <c:orientation val="minMax"/>
        </c:scaling>
        <c:delete val="1"/>
        <c:axPos val="b"/>
        <c:numFmt formatCode="0&quot;E&quot;" sourceLinked="1"/>
        <c:majorTickMark val="none"/>
        <c:minorTickMark val="none"/>
        <c:tickLblPos val="nextTo"/>
        <c:crossAx val="234575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Outputs!$B$43</c:f>
              <c:strCache>
                <c:ptCount val="1"/>
                <c:pt idx="0">
                  <c:v>Share-Based Compensation (Total)</c:v>
                </c:pt>
              </c:strCache>
            </c:strRef>
          </c:tx>
          <c:spPr>
            <a:solidFill>
              <a:srgbClr val="F711FC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Outputs!$B$33:$P$33</c15:sqref>
                  </c15:fullRef>
                </c:ext>
              </c:extLst>
              <c:f>Outputs!$C$33:$P$33</c:f>
              <c:strCache>
                <c:ptCount val="14"/>
                <c:pt idx="7">
                  <c:v>26E</c:v>
                </c:pt>
                <c:pt idx="8">
                  <c:v>27E</c:v>
                </c:pt>
                <c:pt idx="9">
                  <c:v>28E</c:v>
                </c:pt>
                <c:pt idx="10">
                  <c:v>29E</c:v>
                </c:pt>
                <c:pt idx="11">
                  <c:v>30E</c:v>
                </c:pt>
                <c:pt idx="12">
                  <c:v>31E</c:v>
                </c:pt>
                <c:pt idx="13">
                  <c:v>32E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Outputs!$J$43:$P$43</c15:sqref>
                  </c15:fullRef>
                </c:ext>
              </c:extLst>
              <c:f>Outputs!$K$43:$P$43</c:f>
              <c:numCache>
                <c:formatCode>#,##0</c:formatCode>
                <c:ptCount val="6"/>
                <c:pt idx="0">
                  <c:v>193.46389790662261</c:v>
                </c:pt>
                <c:pt idx="1">
                  <c:v>203.99162147045359</c:v>
                </c:pt>
                <c:pt idx="2">
                  <c:v>212.97595685594493</c:v>
                </c:pt>
                <c:pt idx="3">
                  <c:v>220.06214175437549</c:v>
                </c:pt>
                <c:pt idx="4">
                  <c:v>224.90530775777216</c:v>
                </c:pt>
                <c:pt idx="5">
                  <c:v>227.18291411484384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33-44A5-9640-5999B6C30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253584"/>
        <c:axId val="206262224"/>
      </c:barChart>
      <c:lineChart>
        <c:grouping val="standard"/>
        <c:varyColors val="0"/>
        <c:ser>
          <c:idx val="1"/>
          <c:order val="1"/>
          <c:tx>
            <c:strRef>
              <c:f>Outputs!$B$44</c:f>
              <c:strCache>
                <c:ptCount val="1"/>
                <c:pt idx="0">
                  <c:v>Margin (% of Revenue)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Lit>
              <c:ptCount val="6"/>
              <c:pt idx="0">
                <c:v>2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  <c:pt idx="5">
                <c:v>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Outputs!$J$44:$P$44</c15:sqref>
                  </c15:fullRef>
                </c:ext>
              </c:extLst>
              <c:f>Outputs!$K$44:$P$44</c:f>
              <c:numCache>
                <c:formatCode>0.0%</c:formatCode>
                <c:ptCount val="6"/>
                <c:pt idx="0">
                  <c:v>7.7037337662337668E-2</c:v>
                </c:pt>
                <c:pt idx="1">
                  <c:v>7.2629870129870142E-2</c:v>
                </c:pt>
                <c:pt idx="2">
                  <c:v>6.8222402597402615E-2</c:v>
                </c:pt>
                <c:pt idx="3">
                  <c:v>6.3814935064935088E-2</c:v>
                </c:pt>
                <c:pt idx="4">
                  <c:v>5.9407467532467555E-2</c:v>
                </c:pt>
                <c:pt idx="5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33-44A5-9640-5999B6C30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248784"/>
        <c:axId val="206260784"/>
      </c:lineChart>
      <c:catAx>
        <c:axId val="20625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62224"/>
        <c:crosses val="autoZero"/>
        <c:auto val="1"/>
        <c:lblAlgn val="ctr"/>
        <c:lblOffset val="100"/>
        <c:noMultiLvlLbl val="0"/>
      </c:catAx>
      <c:valAx>
        <c:axId val="206262224"/>
        <c:scaling>
          <c:orientation val="minMax"/>
          <c:min val="100"/>
        </c:scaling>
        <c:delete val="0"/>
        <c:axPos val="l"/>
        <c:numFmt formatCode="\$#,##0&quot;mn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53584"/>
        <c:crosses val="autoZero"/>
        <c:crossBetween val="between"/>
      </c:valAx>
      <c:valAx>
        <c:axId val="206260784"/>
        <c:scaling>
          <c:orientation val="minMax"/>
          <c:min val="4.0000000000000008E-2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48784"/>
        <c:crosses val="max"/>
        <c:crossBetween val="between"/>
      </c:valAx>
      <c:catAx>
        <c:axId val="206248784"/>
        <c:scaling>
          <c:orientation val="minMax"/>
        </c:scaling>
        <c:delete val="1"/>
        <c:axPos val="b"/>
        <c:majorTickMark val="none"/>
        <c:minorTickMark val="none"/>
        <c:tickLblPos val="nextTo"/>
        <c:crossAx val="2062607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Outputs!$I$49</c:f>
              <c:strCache>
                <c:ptCount val="1"/>
                <c:pt idx="0">
                  <c:v>Client Count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Outputs!$J$49:$P$49</c:f>
              <c:numCache>
                <c:formatCode>#,##0</c:formatCode>
                <c:ptCount val="7"/>
                <c:pt idx="0">
                  <c:v>7395.137999999999</c:v>
                </c:pt>
                <c:pt idx="1">
                  <c:v>7748.9229342857143</c:v>
                </c:pt>
                <c:pt idx="2">
                  <c:v>8108.5668941387748</c:v>
                </c:pt>
                <c:pt idx="3">
                  <c:v>8473.3229779281864</c:v>
                </c:pt>
                <c:pt idx="4">
                  <c:v>8842.3866512106142</c:v>
                </c:pt>
                <c:pt idx="5">
                  <c:v>9214.8975853580177</c:v>
                </c:pt>
                <c:pt idx="6">
                  <c:v>9589.941982533961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01-4082-818C-A5E4E57AE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6360048"/>
        <c:axId val="2136360528"/>
      </c:barChart>
      <c:lineChart>
        <c:grouping val="standard"/>
        <c:varyColors val="0"/>
        <c:ser>
          <c:idx val="1"/>
          <c:order val="1"/>
          <c:tx>
            <c:strRef>
              <c:f>Outputs!$I$50</c:f>
              <c:strCache>
                <c:ptCount val="1"/>
                <c:pt idx="0">
                  <c:v>Float Revenue</c:v>
                </c:pt>
              </c:strCache>
            </c:strRef>
          </c:tx>
          <c:spPr>
            <a:ln w="28575" cap="rnd">
              <a:solidFill>
                <a:srgbClr val="F711FC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F711FC"/>
              </a:solidFill>
              <a:ln w="9525">
                <a:solidFill>
                  <a:srgbClr val="F711FC"/>
                </a:solidFill>
              </a:ln>
              <a:effectLst/>
            </c:spPr>
          </c:marker>
          <c:cat>
            <c:numRef>
              <c:f>Outputs!$J$33:$P$33</c:f>
              <c:numCache>
                <c:formatCode>0"E"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</c:numCache>
            </c:numRef>
          </c:cat>
          <c:val>
            <c:numRef>
              <c:f>Outputs!$J$50:$P$50</c:f>
              <c:numCache>
                <c:formatCode>#,##0</c:formatCode>
                <c:ptCount val="7"/>
                <c:pt idx="0">
                  <c:v>222.9037979154441</c:v>
                </c:pt>
                <c:pt idx="1">
                  <c:v>250.9910243455646</c:v>
                </c:pt>
                <c:pt idx="2">
                  <c:v>281.18951728239688</c:v>
                </c:pt>
                <c:pt idx="3">
                  <c:v>313.55407380592624</c:v>
                </c:pt>
                <c:pt idx="4">
                  <c:v>348.13152935957254</c:v>
                </c:pt>
                <c:pt idx="5">
                  <c:v>384.95984919737759</c:v>
                </c:pt>
                <c:pt idx="6">
                  <c:v>424.06723446765176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01-4082-818C-A5E4E57AE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8292752"/>
        <c:axId val="2138290352"/>
      </c:lineChart>
      <c:catAx>
        <c:axId val="2136360048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6360528"/>
        <c:crosses val="autoZero"/>
        <c:auto val="1"/>
        <c:lblAlgn val="ctr"/>
        <c:lblOffset val="100"/>
        <c:noMultiLvlLbl val="0"/>
      </c:catAx>
      <c:valAx>
        <c:axId val="213636052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6360048"/>
        <c:crosses val="autoZero"/>
        <c:crossBetween val="between"/>
      </c:valAx>
      <c:valAx>
        <c:axId val="2138290352"/>
        <c:scaling>
          <c:orientation val="minMax"/>
        </c:scaling>
        <c:delete val="0"/>
        <c:axPos val="r"/>
        <c:numFmt formatCode="\$#,##0&quot;mn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8292752"/>
        <c:crosses val="max"/>
        <c:crossBetween val="between"/>
      </c:valAx>
      <c:catAx>
        <c:axId val="2138292752"/>
        <c:scaling>
          <c:orientation val="minMax"/>
        </c:scaling>
        <c:delete val="1"/>
        <c:axPos val="b"/>
        <c:numFmt formatCode="0&quot;E&quot;" sourceLinked="1"/>
        <c:majorTickMark val="out"/>
        <c:minorTickMark val="none"/>
        <c:tickLblPos val="nextTo"/>
        <c:crossAx val="21382903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030A0"/>
                </a:solidFill>
              </a:rPr>
              <a:t>Dayforce</a:t>
            </a:r>
            <a:r>
              <a:rPr lang="en-US" b="1" baseline="0">
                <a:solidFill>
                  <a:srgbClr val="7030A0"/>
                </a:solidFill>
              </a:rPr>
              <a:t> Share Price</a:t>
            </a:r>
            <a:endParaRPr lang="en-US" b="1">
              <a:solidFill>
                <a:srgbClr val="7030A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7030A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'Additional Data'!$C$2</c:f>
              <c:strCache>
                <c:ptCount val="1"/>
                <c:pt idx="0">
                  <c:v>DAY | Share Price (Daily)($)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'Additional Data'!$B$3:$B$379</c:f>
              <c:numCache>
                <c:formatCode>m/d/yyyy</c:formatCode>
                <c:ptCount val="377"/>
                <c:pt idx="0">
                  <c:v>45995</c:v>
                </c:pt>
                <c:pt idx="1">
                  <c:v>45994</c:v>
                </c:pt>
                <c:pt idx="2">
                  <c:v>45993</c:v>
                </c:pt>
                <c:pt idx="3">
                  <c:v>45992</c:v>
                </c:pt>
                <c:pt idx="4">
                  <c:v>45989</c:v>
                </c:pt>
                <c:pt idx="5">
                  <c:v>45987</c:v>
                </c:pt>
                <c:pt idx="6">
                  <c:v>45986</c:v>
                </c:pt>
                <c:pt idx="7">
                  <c:v>45985</c:v>
                </c:pt>
                <c:pt idx="8">
                  <c:v>45982</c:v>
                </c:pt>
                <c:pt idx="9">
                  <c:v>45981</c:v>
                </c:pt>
                <c:pt idx="10">
                  <c:v>45980</c:v>
                </c:pt>
                <c:pt idx="11">
                  <c:v>45979</c:v>
                </c:pt>
                <c:pt idx="12">
                  <c:v>45978</c:v>
                </c:pt>
                <c:pt idx="13">
                  <c:v>45975</c:v>
                </c:pt>
                <c:pt idx="14">
                  <c:v>45974</c:v>
                </c:pt>
                <c:pt idx="15">
                  <c:v>45973</c:v>
                </c:pt>
                <c:pt idx="16">
                  <c:v>45972</c:v>
                </c:pt>
                <c:pt idx="17">
                  <c:v>45971</c:v>
                </c:pt>
                <c:pt idx="18">
                  <c:v>45968</c:v>
                </c:pt>
                <c:pt idx="19">
                  <c:v>45967</c:v>
                </c:pt>
                <c:pt idx="20">
                  <c:v>45966</c:v>
                </c:pt>
                <c:pt idx="21">
                  <c:v>45965</c:v>
                </c:pt>
                <c:pt idx="22">
                  <c:v>45964</c:v>
                </c:pt>
                <c:pt idx="23">
                  <c:v>45961</c:v>
                </c:pt>
                <c:pt idx="24">
                  <c:v>45960</c:v>
                </c:pt>
                <c:pt idx="25">
                  <c:v>45959</c:v>
                </c:pt>
                <c:pt idx="26">
                  <c:v>45958</c:v>
                </c:pt>
                <c:pt idx="27">
                  <c:v>45957</c:v>
                </c:pt>
                <c:pt idx="28">
                  <c:v>45954</c:v>
                </c:pt>
                <c:pt idx="29">
                  <c:v>45953</c:v>
                </c:pt>
                <c:pt idx="30">
                  <c:v>45952</c:v>
                </c:pt>
                <c:pt idx="31">
                  <c:v>45951</c:v>
                </c:pt>
                <c:pt idx="32">
                  <c:v>45950</c:v>
                </c:pt>
                <c:pt idx="33">
                  <c:v>45947</c:v>
                </c:pt>
                <c:pt idx="34">
                  <c:v>45946</c:v>
                </c:pt>
                <c:pt idx="35">
                  <c:v>45945</c:v>
                </c:pt>
                <c:pt idx="36">
                  <c:v>45944</c:v>
                </c:pt>
                <c:pt idx="37">
                  <c:v>45943</c:v>
                </c:pt>
                <c:pt idx="38">
                  <c:v>45940</c:v>
                </c:pt>
                <c:pt idx="39">
                  <c:v>45939</c:v>
                </c:pt>
                <c:pt idx="40">
                  <c:v>45938</c:v>
                </c:pt>
                <c:pt idx="41">
                  <c:v>45937</c:v>
                </c:pt>
                <c:pt idx="42">
                  <c:v>45936</c:v>
                </c:pt>
                <c:pt idx="43">
                  <c:v>45933</c:v>
                </c:pt>
                <c:pt idx="44">
                  <c:v>45932</c:v>
                </c:pt>
                <c:pt idx="45">
                  <c:v>45931</c:v>
                </c:pt>
                <c:pt idx="46">
                  <c:v>45930</c:v>
                </c:pt>
                <c:pt idx="47">
                  <c:v>45929</c:v>
                </c:pt>
                <c:pt idx="48">
                  <c:v>45926</c:v>
                </c:pt>
                <c:pt idx="49">
                  <c:v>45925</c:v>
                </c:pt>
                <c:pt idx="50">
                  <c:v>45924</c:v>
                </c:pt>
                <c:pt idx="51">
                  <c:v>45923</c:v>
                </c:pt>
                <c:pt idx="52">
                  <c:v>45922</c:v>
                </c:pt>
                <c:pt idx="53">
                  <c:v>45919</c:v>
                </c:pt>
                <c:pt idx="54">
                  <c:v>45918</c:v>
                </c:pt>
                <c:pt idx="55">
                  <c:v>45917</c:v>
                </c:pt>
                <c:pt idx="56">
                  <c:v>45916</c:v>
                </c:pt>
                <c:pt idx="57">
                  <c:v>45915</c:v>
                </c:pt>
                <c:pt idx="58">
                  <c:v>45912</c:v>
                </c:pt>
                <c:pt idx="59">
                  <c:v>45911</c:v>
                </c:pt>
                <c:pt idx="60">
                  <c:v>45910</c:v>
                </c:pt>
                <c:pt idx="61">
                  <c:v>45909</c:v>
                </c:pt>
                <c:pt idx="62">
                  <c:v>45908</c:v>
                </c:pt>
                <c:pt idx="63">
                  <c:v>45905</c:v>
                </c:pt>
                <c:pt idx="64">
                  <c:v>45904</c:v>
                </c:pt>
                <c:pt idx="65">
                  <c:v>45903</c:v>
                </c:pt>
                <c:pt idx="66">
                  <c:v>45902</c:v>
                </c:pt>
                <c:pt idx="67">
                  <c:v>45898</c:v>
                </c:pt>
                <c:pt idx="68">
                  <c:v>45897</c:v>
                </c:pt>
                <c:pt idx="69">
                  <c:v>45896</c:v>
                </c:pt>
                <c:pt idx="70">
                  <c:v>45895</c:v>
                </c:pt>
                <c:pt idx="71">
                  <c:v>45894</c:v>
                </c:pt>
                <c:pt idx="72">
                  <c:v>45891</c:v>
                </c:pt>
                <c:pt idx="73">
                  <c:v>45890</c:v>
                </c:pt>
                <c:pt idx="74">
                  <c:v>45889</c:v>
                </c:pt>
                <c:pt idx="75">
                  <c:v>45888</c:v>
                </c:pt>
                <c:pt idx="76">
                  <c:v>45887</c:v>
                </c:pt>
                <c:pt idx="77">
                  <c:v>45884</c:v>
                </c:pt>
                <c:pt idx="78">
                  <c:v>45883</c:v>
                </c:pt>
                <c:pt idx="79">
                  <c:v>45882</c:v>
                </c:pt>
                <c:pt idx="80">
                  <c:v>45881</c:v>
                </c:pt>
                <c:pt idx="81">
                  <c:v>45880</c:v>
                </c:pt>
                <c:pt idx="82">
                  <c:v>45877</c:v>
                </c:pt>
                <c:pt idx="83">
                  <c:v>45876</c:v>
                </c:pt>
                <c:pt idx="84">
                  <c:v>45875</c:v>
                </c:pt>
                <c:pt idx="85">
                  <c:v>45874</c:v>
                </c:pt>
                <c:pt idx="86">
                  <c:v>45873</c:v>
                </c:pt>
                <c:pt idx="87">
                  <c:v>45870</c:v>
                </c:pt>
                <c:pt idx="88">
                  <c:v>45869</c:v>
                </c:pt>
                <c:pt idx="89">
                  <c:v>45868</c:v>
                </c:pt>
                <c:pt idx="90">
                  <c:v>45867</c:v>
                </c:pt>
                <c:pt idx="91">
                  <c:v>45866</c:v>
                </c:pt>
                <c:pt idx="92">
                  <c:v>45863</c:v>
                </c:pt>
                <c:pt idx="93">
                  <c:v>45862</c:v>
                </c:pt>
                <c:pt idx="94">
                  <c:v>45861</c:v>
                </c:pt>
                <c:pt idx="95">
                  <c:v>45860</c:v>
                </c:pt>
                <c:pt idx="96">
                  <c:v>45859</c:v>
                </c:pt>
                <c:pt idx="97">
                  <c:v>45856</c:v>
                </c:pt>
                <c:pt idx="98">
                  <c:v>45855</c:v>
                </c:pt>
                <c:pt idx="99">
                  <c:v>45854</c:v>
                </c:pt>
                <c:pt idx="100">
                  <c:v>45853</c:v>
                </c:pt>
                <c:pt idx="101">
                  <c:v>45852</c:v>
                </c:pt>
                <c:pt idx="102">
                  <c:v>45849</c:v>
                </c:pt>
                <c:pt idx="103">
                  <c:v>45848</c:v>
                </c:pt>
                <c:pt idx="104">
                  <c:v>45847</c:v>
                </c:pt>
                <c:pt idx="105">
                  <c:v>45846</c:v>
                </c:pt>
                <c:pt idx="106">
                  <c:v>45845</c:v>
                </c:pt>
                <c:pt idx="107">
                  <c:v>45841</c:v>
                </c:pt>
                <c:pt idx="108">
                  <c:v>45840</c:v>
                </c:pt>
                <c:pt idx="109">
                  <c:v>45839</c:v>
                </c:pt>
                <c:pt idx="110">
                  <c:v>45838</c:v>
                </c:pt>
                <c:pt idx="111">
                  <c:v>45835</c:v>
                </c:pt>
                <c:pt idx="112">
                  <c:v>45834</c:v>
                </c:pt>
                <c:pt idx="113">
                  <c:v>45833</c:v>
                </c:pt>
                <c:pt idx="114">
                  <c:v>45832</c:v>
                </c:pt>
                <c:pt idx="115">
                  <c:v>45831</c:v>
                </c:pt>
                <c:pt idx="116">
                  <c:v>45828</c:v>
                </c:pt>
                <c:pt idx="117">
                  <c:v>45826</c:v>
                </c:pt>
                <c:pt idx="118">
                  <c:v>45825</c:v>
                </c:pt>
                <c:pt idx="119">
                  <c:v>45824</c:v>
                </c:pt>
                <c:pt idx="120">
                  <c:v>45821</c:v>
                </c:pt>
                <c:pt idx="121">
                  <c:v>45820</c:v>
                </c:pt>
                <c:pt idx="122">
                  <c:v>45819</c:v>
                </c:pt>
                <c:pt idx="123">
                  <c:v>45818</c:v>
                </c:pt>
                <c:pt idx="124">
                  <c:v>45817</c:v>
                </c:pt>
                <c:pt idx="125">
                  <c:v>45814</c:v>
                </c:pt>
                <c:pt idx="126">
                  <c:v>45813</c:v>
                </c:pt>
                <c:pt idx="127">
                  <c:v>45812</c:v>
                </c:pt>
                <c:pt idx="128">
                  <c:v>45811</c:v>
                </c:pt>
                <c:pt idx="129">
                  <c:v>45810</c:v>
                </c:pt>
                <c:pt idx="130">
                  <c:v>45807</c:v>
                </c:pt>
                <c:pt idx="131">
                  <c:v>45806</c:v>
                </c:pt>
                <c:pt idx="132">
                  <c:v>45805</c:v>
                </c:pt>
                <c:pt idx="133">
                  <c:v>45804</c:v>
                </c:pt>
                <c:pt idx="134">
                  <c:v>45800</c:v>
                </c:pt>
                <c:pt idx="135">
                  <c:v>45799</c:v>
                </c:pt>
                <c:pt idx="136">
                  <c:v>45798</c:v>
                </c:pt>
                <c:pt idx="137">
                  <c:v>45797</c:v>
                </c:pt>
                <c:pt idx="138">
                  <c:v>45796</c:v>
                </c:pt>
                <c:pt idx="139">
                  <c:v>45793</c:v>
                </c:pt>
                <c:pt idx="140">
                  <c:v>45792</c:v>
                </c:pt>
                <c:pt idx="141">
                  <c:v>45791</c:v>
                </c:pt>
                <c:pt idx="142">
                  <c:v>45790</c:v>
                </c:pt>
                <c:pt idx="143">
                  <c:v>45789</c:v>
                </c:pt>
                <c:pt idx="144">
                  <c:v>45786</c:v>
                </c:pt>
                <c:pt idx="145">
                  <c:v>45785</c:v>
                </c:pt>
                <c:pt idx="146">
                  <c:v>45784</c:v>
                </c:pt>
                <c:pt idx="147">
                  <c:v>45783</c:v>
                </c:pt>
                <c:pt idx="148">
                  <c:v>45782</c:v>
                </c:pt>
                <c:pt idx="149">
                  <c:v>45779</c:v>
                </c:pt>
                <c:pt idx="150">
                  <c:v>45778</c:v>
                </c:pt>
                <c:pt idx="151">
                  <c:v>45777</c:v>
                </c:pt>
                <c:pt idx="152">
                  <c:v>45776</c:v>
                </c:pt>
                <c:pt idx="153">
                  <c:v>45775</c:v>
                </c:pt>
                <c:pt idx="154">
                  <c:v>45772</c:v>
                </c:pt>
                <c:pt idx="155">
                  <c:v>45771</c:v>
                </c:pt>
                <c:pt idx="156">
                  <c:v>45770</c:v>
                </c:pt>
                <c:pt idx="157">
                  <c:v>45769</c:v>
                </c:pt>
                <c:pt idx="158">
                  <c:v>45768</c:v>
                </c:pt>
                <c:pt idx="159">
                  <c:v>45764</c:v>
                </c:pt>
                <c:pt idx="160">
                  <c:v>45763</c:v>
                </c:pt>
                <c:pt idx="161">
                  <c:v>45762</c:v>
                </c:pt>
                <c:pt idx="162">
                  <c:v>45761</c:v>
                </c:pt>
                <c:pt idx="163">
                  <c:v>45758</c:v>
                </c:pt>
                <c:pt idx="164">
                  <c:v>45757</c:v>
                </c:pt>
                <c:pt idx="165">
                  <c:v>45756</c:v>
                </c:pt>
                <c:pt idx="166">
                  <c:v>45755</c:v>
                </c:pt>
                <c:pt idx="167">
                  <c:v>45754</c:v>
                </c:pt>
                <c:pt idx="168">
                  <c:v>45751</c:v>
                </c:pt>
                <c:pt idx="169">
                  <c:v>45750</c:v>
                </c:pt>
                <c:pt idx="170">
                  <c:v>45749</c:v>
                </c:pt>
                <c:pt idx="171">
                  <c:v>45748</c:v>
                </c:pt>
                <c:pt idx="172">
                  <c:v>45747</c:v>
                </c:pt>
                <c:pt idx="173">
                  <c:v>45744</c:v>
                </c:pt>
                <c:pt idx="174">
                  <c:v>45743</c:v>
                </c:pt>
                <c:pt idx="175">
                  <c:v>45742</c:v>
                </c:pt>
                <c:pt idx="176">
                  <c:v>45741</c:v>
                </c:pt>
                <c:pt idx="177">
                  <c:v>45740</c:v>
                </c:pt>
                <c:pt idx="178">
                  <c:v>45737</c:v>
                </c:pt>
                <c:pt idx="179">
                  <c:v>45736</c:v>
                </c:pt>
                <c:pt idx="180">
                  <c:v>45735</c:v>
                </c:pt>
                <c:pt idx="181">
                  <c:v>45734</c:v>
                </c:pt>
                <c:pt idx="182">
                  <c:v>45733</c:v>
                </c:pt>
                <c:pt idx="183">
                  <c:v>45730</c:v>
                </c:pt>
                <c:pt idx="184">
                  <c:v>45729</c:v>
                </c:pt>
                <c:pt idx="185">
                  <c:v>45728</c:v>
                </c:pt>
                <c:pt idx="186">
                  <c:v>45727</c:v>
                </c:pt>
                <c:pt idx="187">
                  <c:v>45726</c:v>
                </c:pt>
                <c:pt idx="188">
                  <c:v>45723</c:v>
                </c:pt>
                <c:pt idx="189">
                  <c:v>45722</c:v>
                </c:pt>
                <c:pt idx="190">
                  <c:v>45721</c:v>
                </c:pt>
                <c:pt idx="191">
                  <c:v>45720</c:v>
                </c:pt>
                <c:pt idx="192">
                  <c:v>45719</c:v>
                </c:pt>
                <c:pt idx="193">
                  <c:v>45716</c:v>
                </c:pt>
                <c:pt idx="194">
                  <c:v>45715</c:v>
                </c:pt>
                <c:pt idx="195">
                  <c:v>45714</c:v>
                </c:pt>
                <c:pt idx="196">
                  <c:v>45713</c:v>
                </c:pt>
                <c:pt idx="197">
                  <c:v>45712</c:v>
                </c:pt>
                <c:pt idx="198">
                  <c:v>45709</c:v>
                </c:pt>
                <c:pt idx="199">
                  <c:v>45708</c:v>
                </c:pt>
                <c:pt idx="200">
                  <c:v>45707</c:v>
                </c:pt>
                <c:pt idx="201">
                  <c:v>45706</c:v>
                </c:pt>
                <c:pt idx="202">
                  <c:v>45702</c:v>
                </c:pt>
                <c:pt idx="203">
                  <c:v>45701</c:v>
                </c:pt>
                <c:pt idx="204">
                  <c:v>45700</c:v>
                </c:pt>
                <c:pt idx="205">
                  <c:v>45699</c:v>
                </c:pt>
                <c:pt idx="206">
                  <c:v>45698</c:v>
                </c:pt>
                <c:pt idx="207">
                  <c:v>45695</c:v>
                </c:pt>
                <c:pt idx="208">
                  <c:v>45694</c:v>
                </c:pt>
                <c:pt idx="209">
                  <c:v>45693</c:v>
                </c:pt>
                <c:pt idx="210">
                  <c:v>45692</c:v>
                </c:pt>
                <c:pt idx="211">
                  <c:v>45691</c:v>
                </c:pt>
                <c:pt idx="212">
                  <c:v>45688</c:v>
                </c:pt>
                <c:pt idx="213">
                  <c:v>45687</c:v>
                </c:pt>
                <c:pt idx="214">
                  <c:v>45686</c:v>
                </c:pt>
                <c:pt idx="215">
                  <c:v>45685</c:v>
                </c:pt>
                <c:pt idx="216">
                  <c:v>45684</c:v>
                </c:pt>
                <c:pt idx="217">
                  <c:v>45681</c:v>
                </c:pt>
                <c:pt idx="218">
                  <c:v>45680</c:v>
                </c:pt>
                <c:pt idx="219">
                  <c:v>45679</c:v>
                </c:pt>
                <c:pt idx="220">
                  <c:v>45678</c:v>
                </c:pt>
                <c:pt idx="221">
                  <c:v>45674</c:v>
                </c:pt>
                <c:pt idx="222">
                  <c:v>45673</c:v>
                </c:pt>
                <c:pt idx="223">
                  <c:v>45672</c:v>
                </c:pt>
                <c:pt idx="224">
                  <c:v>45671</c:v>
                </c:pt>
                <c:pt idx="225">
                  <c:v>45670</c:v>
                </c:pt>
                <c:pt idx="226">
                  <c:v>45667</c:v>
                </c:pt>
                <c:pt idx="227">
                  <c:v>45665</c:v>
                </c:pt>
                <c:pt idx="228">
                  <c:v>45664</c:v>
                </c:pt>
                <c:pt idx="229">
                  <c:v>45663</c:v>
                </c:pt>
                <c:pt idx="230">
                  <c:v>45660</c:v>
                </c:pt>
                <c:pt idx="231">
                  <c:v>45659</c:v>
                </c:pt>
                <c:pt idx="232">
                  <c:v>45657</c:v>
                </c:pt>
                <c:pt idx="233">
                  <c:v>45656</c:v>
                </c:pt>
                <c:pt idx="234">
                  <c:v>45653</c:v>
                </c:pt>
                <c:pt idx="235">
                  <c:v>45652</c:v>
                </c:pt>
                <c:pt idx="236">
                  <c:v>45650</c:v>
                </c:pt>
                <c:pt idx="237">
                  <c:v>45649</c:v>
                </c:pt>
                <c:pt idx="238">
                  <c:v>45646</c:v>
                </c:pt>
                <c:pt idx="239">
                  <c:v>45645</c:v>
                </c:pt>
                <c:pt idx="240">
                  <c:v>45644</c:v>
                </c:pt>
                <c:pt idx="241">
                  <c:v>45643</c:v>
                </c:pt>
                <c:pt idx="242">
                  <c:v>45642</c:v>
                </c:pt>
                <c:pt idx="243">
                  <c:v>45639</c:v>
                </c:pt>
                <c:pt idx="244">
                  <c:v>45638</c:v>
                </c:pt>
                <c:pt idx="245">
                  <c:v>45637</c:v>
                </c:pt>
                <c:pt idx="246">
                  <c:v>45636</c:v>
                </c:pt>
                <c:pt idx="247">
                  <c:v>45635</c:v>
                </c:pt>
                <c:pt idx="248">
                  <c:v>45632</c:v>
                </c:pt>
                <c:pt idx="249">
                  <c:v>45631</c:v>
                </c:pt>
                <c:pt idx="250">
                  <c:v>45630</c:v>
                </c:pt>
                <c:pt idx="251">
                  <c:v>45629</c:v>
                </c:pt>
                <c:pt idx="252">
                  <c:v>45628</c:v>
                </c:pt>
                <c:pt idx="253">
                  <c:v>45625</c:v>
                </c:pt>
                <c:pt idx="254">
                  <c:v>45623</c:v>
                </c:pt>
                <c:pt idx="255">
                  <c:v>45622</c:v>
                </c:pt>
                <c:pt idx="256">
                  <c:v>45621</c:v>
                </c:pt>
                <c:pt idx="257">
                  <c:v>45618</c:v>
                </c:pt>
                <c:pt idx="258">
                  <c:v>45617</c:v>
                </c:pt>
                <c:pt idx="259">
                  <c:v>45616</c:v>
                </c:pt>
                <c:pt idx="260">
                  <c:v>45615</c:v>
                </c:pt>
                <c:pt idx="261">
                  <c:v>45614</c:v>
                </c:pt>
                <c:pt idx="262">
                  <c:v>45611</c:v>
                </c:pt>
                <c:pt idx="263">
                  <c:v>45610</c:v>
                </c:pt>
                <c:pt idx="264">
                  <c:v>45609</c:v>
                </c:pt>
                <c:pt idx="265">
                  <c:v>45608</c:v>
                </c:pt>
                <c:pt idx="266">
                  <c:v>45607</c:v>
                </c:pt>
                <c:pt idx="267">
                  <c:v>45604</c:v>
                </c:pt>
                <c:pt idx="268">
                  <c:v>45603</c:v>
                </c:pt>
                <c:pt idx="269">
                  <c:v>45602</c:v>
                </c:pt>
                <c:pt idx="270">
                  <c:v>45601</c:v>
                </c:pt>
                <c:pt idx="271">
                  <c:v>45600</c:v>
                </c:pt>
                <c:pt idx="272">
                  <c:v>45597</c:v>
                </c:pt>
                <c:pt idx="273">
                  <c:v>45596</c:v>
                </c:pt>
                <c:pt idx="274">
                  <c:v>45595</c:v>
                </c:pt>
                <c:pt idx="275">
                  <c:v>45594</c:v>
                </c:pt>
                <c:pt idx="276">
                  <c:v>45593</c:v>
                </c:pt>
                <c:pt idx="277">
                  <c:v>45590</c:v>
                </c:pt>
                <c:pt idx="278">
                  <c:v>45589</c:v>
                </c:pt>
                <c:pt idx="279">
                  <c:v>45588</c:v>
                </c:pt>
                <c:pt idx="280">
                  <c:v>45587</c:v>
                </c:pt>
                <c:pt idx="281">
                  <c:v>45586</c:v>
                </c:pt>
                <c:pt idx="282">
                  <c:v>45583</c:v>
                </c:pt>
                <c:pt idx="283">
                  <c:v>45582</c:v>
                </c:pt>
                <c:pt idx="284">
                  <c:v>45581</c:v>
                </c:pt>
                <c:pt idx="285">
                  <c:v>45580</c:v>
                </c:pt>
                <c:pt idx="286">
                  <c:v>45579</c:v>
                </c:pt>
                <c:pt idx="287">
                  <c:v>45576</c:v>
                </c:pt>
                <c:pt idx="288">
                  <c:v>45575</c:v>
                </c:pt>
                <c:pt idx="289">
                  <c:v>45574</c:v>
                </c:pt>
                <c:pt idx="290">
                  <c:v>45573</c:v>
                </c:pt>
                <c:pt idx="291">
                  <c:v>45572</c:v>
                </c:pt>
                <c:pt idx="292">
                  <c:v>45569</c:v>
                </c:pt>
                <c:pt idx="293">
                  <c:v>45568</c:v>
                </c:pt>
                <c:pt idx="294">
                  <c:v>45567</c:v>
                </c:pt>
                <c:pt idx="295">
                  <c:v>45566</c:v>
                </c:pt>
                <c:pt idx="296">
                  <c:v>45565</c:v>
                </c:pt>
                <c:pt idx="297">
                  <c:v>45562</c:v>
                </c:pt>
                <c:pt idx="298">
                  <c:v>45561</c:v>
                </c:pt>
                <c:pt idx="299">
                  <c:v>45560</c:v>
                </c:pt>
                <c:pt idx="300">
                  <c:v>45559</c:v>
                </c:pt>
                <c:pt idx="301">
                  <c:v>45558</c:v>
                </c:pt>
                <c:pt idx="302">
                  <c:v>45555</c:v>
                </c:pt>
                <c:pt idx="303">
                  <c:v>45554</c:v>
                </c:pt>
                <c:pt idx="304">
                  <c:v>45553</c:v>
                </c:pt>
                <c:pt idx="305">
                  <c:v>45552</c:v>
                </c:pt>
                <c:pt idx="306">
                  <c:v>45551</c:v>
                </c:pt>
                <c:pt idx="307">
                  <c:v>45548</c:v>
                </c:pt>
                <c:pt idx="308">
                  <c:v>45547</c:v>
                </c:pt>
                <c:pt idx="309">
                  <c:v>45546</c:v>
                </c:pt>
                <c:pt idx="310">
                  <c:v>45545</c:v>
                </c:pt>
                <c:pt idx="311">
                  <c:v>45544</c:v>
                </c:pt>
                <c:pt idx="312">
                  <c:v>45541</c:v>
                </c:pt>
                <c:pt idx="313">
                  <c:v>45540</c:v>
                </c:pt>
                <c:pt idx="314">
                  <c:v>45539</c:v>
                </c:pt>
                <c:pt idx="315">
                  <c:v>45538</c:v>
                </c:pt>
                <c:pt idx="316">
                  <c:v>45534</c:v>
                </c:pt>
                <c:pt idx="317">
                  <c:v>45533</c:v>
                </c:pt>
                <c:pt idx="318">
                  <c:v>45532</c:v>
                </c:pt>
                <c:pt idx="319">
                  <c:v>45531</c:v>
                </c:pt>
                <c:pt idx="320">
                  <c:v>45530</c:v>
                </c:pt>
                <c:pt idx="321">
                  <c:v>45527</c:v>
                </c:pt>
                <c:pt idx="322">
                  <c:v>45526</c:v>
                </c:pt>
                <c:pt idx="323">
                  <c:v>45525</c:v>
                </c:pt>
                <c:pt idx="324">
                  <c:v>45524</c:v>
                </c:pt>
                <c:pt idx="325">
                  <c:v>45523</c:v>
                </c:pt>
                <c:pt idx="326">
                  <c:v>45520</c:v>
                </c:pt>
                <c:pt idx="327">
                  <c:v>45519</c:v>
                </c:pt>
                <c:pt idx="328">
                  <c:v>45518</c:v>
                </c:pt>
                <c:pt idx="329">
                  <c:v>45517</c:v>
                </c:pt>
                <c:pt idx="330">
                  <c:v>45516</c:v>
                </c:pt>
                <c:pt idx="331">
                  <c:v>45513</c:v>
                </c:pt>
                <c:pt idx="332">
                  <c:v>45512</c:v>
                </c:pt>
                <c:pt idx="333">
                  <c:v>45511</c:v>
                </c:pt>
                <c:pt idx="334">
                  <c:v>45510</c:v>
                </c:pt>
                <c:pt idx="335">
                  <c:v>45509</c:v>
                </c:pt>
                <c:pt idx="336">
                  <c:v>45506</c:v>
                </c:pt>
                <c:pt idx="337">
                  <c:v>45505</c:v>
                </c:pt>
                <c:pt idx="338">
                  <c:v>45504</c:v>
                </c:pt>
                <c:pt idx="339">
                  <c:v>45503</c:v>
                </c:pt>
                <c:pt idx="340">
                  <c:v>45502</c:v>
                </c:pt>
                <c:pt idx="341">
                  <c:v>45499</c:v>
                </c:pt>
                <c:pt idx="342">
                  <c:v>45498</c:v>
                </c:pt>
                <c:pt idx="343">
                  <c:v>45497</c:v>
                </c:pt>
                <c:pt idx="344">
                  <c:v>45496</c:v>
                </c:pt>
                <c:pt idx="345">
                  <c:v>45495</c:v>
                </c:pt>
                <c:pt idx="346">
                  <c:v>45492</c:v>
                </c:pt>
                <c:pt idx="347">
                  <c:v>45491</c:v>
                </c:pt>
                <c:pt idx="348">
                  <c:v>45490</c:v>
                </c:pt>
                <c:pt idx="349">
                  <c:v>45489</c:v>
                </c:pt>
                <c:pt idx="350">
                  <c:v>45488</c:v>
                </c:pt>
                <c:pt idx="351">
                  <c:v>45485</c:v>
                </c:pt>
                <c:pt idx="352">
                  <c:v>45484</c:v>
                </c:pt>
                <c:pt idx="353">
                  <c:v>45483</c:v>
                </c:pt>
                <c:pt idx="354">
                  <c:v>45482</c:v>
                </c:pt>
                <c:pt idx="355">
                  <c:v>45481</c:v>
                </c:pt>
                <c:pt idx="356">
                  <c:v>45478</c:v>
                </c:pt>
                <c:pt idx="357">
                  <c:v>45476</c:v>
                </c:pt>
                <c:pt idx="358">
                  <c:v>45475</c:v>
                </c:pt>
                <c:pt idx="359">
                  <c:v>45474</c:v>
                </c:pt>
                <c:pt idx="360">
                  <c:v>45471</c:v>
                </c:pt>
                <c:pt idx="361">
                  <c:v>45470</c:v>
                </c:pt>
                <c:pt idx="362">
                  <c:v>45469</c:v>
                </c:pt>
                <c:pt idx="363">
                  <c:v>45468</c:v>
                </c:pt>
                <c:pt idx="364">
                  <c:v>45467</c:v>
                </c:pt>
                <c:pt idx="365">
                  <c:v>45464</c:v>
                </c:pt>
                <c:pt idx="366">
                  <c:v>45463</c:v>
                </c:pt>
                <c:pt idx="367">
                  <c:v>45461</c:v>
                </c:pt>
                <c:pt idx="368">
                  <c:v>45460</c:v>
                </c:pt>
                <c:pt idx="369">
                  <c:v>45457</c:v>
                </c:pt>
                <c:pt idx="370">
                  <c:v>45456</c:v>
                </c:pt>
                <c:pt idx="371">
                  <c:v>45455</c:v>
                </c:pt>
                <c:pt idx="372">
                  <c:v>45454</c:v>
                </c:pt>
                <c:pt idx="373">
                  <c:v>45453</c:v>
                </c:pt>
                <c:pt idx="374">
                  <c:v>45450</c:v>
                </c:pt>
                <c:pt idx="375">
                  <c:v>45449</c:v>
                </c:pt>
                <c:pt idx="376">
                  <c:v>45448</c:v>
                </c:pt>
              </c:numCache>
            </c:numRef>
          </c:cat>
          <c:val>
            <c:numRef>
              <c:f>'Additional Data'!$C$3:$C$379</c:f>
              <c:numCache>
                <c:formatCode>#,##0.00;\(#,##0.00\)</c:formatCode>
                <c:ptCount val="377"/>
                <c:pt idx="0">
                  <c:v>69.11</c:v>
                </c:pt>
                <c:pt idx="1">
                  <c:v>69.099999999999994</c:v>
                </c:pt>
                <c:pt idx="2">
                  <c:v>69.11</c:v>
                </c:pt>
                <c:pt idx="3">
                  <c:v>69.12</c:v>
                </c:pt>
                <c:pt idx="4">
                  <c:v>69.099999999999994</c:v>
                </c:pt>
                <c:pt idx="5" formatCode="#,##0;\(#,##0\)">
                  <c:v>69</c:v>
                </c:pt>
                <c:pt idx="6">
                  <c:v>69.069999999999993</c:v>
                </c:pt>
                <c:pt idx="7">
                  <c:v>68.95</c:v>
                </c:pt>
                <c:pt idx="8">
                  <c:v>68.849999999999994</c:v>
                </c:pt>
                <c:pt idx="9">
                  <c:v>68.87</c:v>
                </c:pt>
                <c:pt idx="10">
                  <c:v>68.97</c:v>
                </c:pt>
                <c:pt idx="11">
                  <c:v>68.97</c:v>
                </c:pt>
                <c:pt idx="12">
                  <c:v>68.83</c:v>
                </c:pt>
                <c:pt idx="13" formatCode="#,##0;\(#,##0\)">
                  <c:v>69</c:v>
                </c:pt>
                <c:pt idx="14">
                  <c:v>68.91</c:v>
                </c:pt>
                <c:pt idx="15">
                  <c:v>68.989999999999995</c:v>
                </c:pt>
                <c:pt idx="16">
                  <c:v>68.8</c:v>
                </c:pt>
                <c:pt idx="17">
                  <c:v>68.599999999999994</c:v>
                </c:pt>
                <c:pt idx="18">
                  <c:v>68.349999999999994</c:v>
                </c:pt>
                <c:pt idx="19">
                  <c:v>68.52</c:v>
                </c:pt>
                <c:pt idx="20">
                  <c:v>68.540000000000006</c:v>
                </c:pt>
                <c:pt idx="21">
                  <c:v>68.61</c:v>
                </c:pt>
                <c:pt idx="22">
                  <c:v>68.69</c:v>
                </c:pt>
                <c:pt idx="23">
                  <c:v>68.739999999999995</c:v>
                </c:pt>
                <c:pt idx="24">
                  <c:v>68.45</c:v>
                </c:pt>
                <c:pt idx="25">
                  <c:v>68.36</c:v>
                </c:pt>
                <c:pt idx="26">
                  <c:v>68.400000000000006</c:v>
                </c:pt>
                <c:pt idx="27">
                  <c:v>68.45</c:v>
                </c:pt>
                <c:pt idx="28">
                  <c:v>68.48</c:v>
                </c:pt>
                <c:pt idx="29">
                  <c:v>68.5</c:v>
                </c:pt>
                <c:pt idx="30">
                  <c:v>68.5</c:v>
                </c:pt>
                <c:pt idx="31">
                  <c:v>68.34</c:v>
                </c:pt>
                <c:pt idx="32">
                  <c:v>68.28</c:v>
                </c:pt>
                <c:pt idx="33">
                  <c:v>68.260000000000005</c:v>
                </c:pt>
                <c:pt idx="34">
                  <c:v>68.319999999999993</c:v>
                </c:pt>
                <c:pt idx="35">
                  <c:v>68.28</c:v>
                </c:pt>
                <c:pt idx="36">
                  <c:v>68.2</c:v>
                </c:pt>
                <c:pt idx="37">
                  <c:v>68.38</c:v>
                </c:pt>
                <c:pt idx="38">
                  <c:v>68.11</c:v>
                </c:pt>
                <c:pt idx="39">
                  <c:v>68.52</c:v>
                </c:pt>
                <c:pt idx="40">
                  <c:v>68.61</c:v>
                </c:pt>
                <c:pt idx="41">
                  <c:v>68.989999999999995</c:v>
                </c:pt>
                <c:pt idx="42">
                  <c:v>69.010000000000005</c:v>
                </c:pt>
                <c:pt idx="43">
                  <c:v>68.959999999999994</c:v>
                </c:pt>
                <c:pt idx="44">
                  <c:v>68.989999999999995</c:v>
                </c:pt>
                <c:pt idx="45">
                  <c:v>68.95</c:v>
                </c:pt>
                <c:pt idx="46">
                  <c:v>68.89</c:v>
                </c:pt>
                <c:pt idx="47">
                  <c:v>68.83</c:v>
                </c:pt>
                <c:pt idx="48">
                  <c:v>68.86</c:v>
                </c:pt>
                <c:pt idx="49">
                  <c:v>68.849999999999994</c:v>
                </c:pt>
                <c:pt idx="50">
                  <c:v>68.83</c:v>
                </c:pt>
                <c:pt idx="51">
                  <c:v>68.819999999999993</c:v>
                </c:pt>
                <c:pt idx="52">
                  <c:v>68.75</c:v>
                </c:pt>
                <c:pt idx="53">
                  <c:v>68.8</c:v>
                </c:pt>
                <c:pt idx="54">
                  <c:v>68.95</c:v>
                </c:pt>
                <c:pt idx="55">
                  <c:v>68.41</c:v>
                </c:pt>
                <c:pt idx="56">
                  <c:v>69.069999999999993</c:v>
                </c:pt>
                <c:pt idx="57">
                  <c:v>68.91</c:v>
                </c:pt>
                <c:pt idx="58">
                  <c:v>68.989999999999995</c:v>
                </c:pt>
                <c:pt idx="59">
                  <c:v>69.02</c:v>
                </c:pt>
                <c:pt idx="60">
                  <c:v>68.89</c:v>
                </c:pt>
                <c:pt idx="61">
                  <c:v>68.900000000000006</c:v>
                </c:pt>
                <c:pt idx="62">
                  <c:v>69.34</c:v>
                </c:pt>
                <c:pt idx="63" formatCode="#,##0;\(#,##0\)">
                  <c:v>69</c:v>
                </c:pt>
                <c:pt idx="64">
                  <c:v>69.55</c:v>
                </c:pt>
                <c:pt idx="65">
                  <c:v>69.540000000000006</c:v>
                </c:pt>
                <c:pt idx="66">
                  <c:v>69.5</c:v>
                </c:pt>
                <c:pt idx="67">
                  <c:v>69.77</c:v>
                </c:pt>
                <c:pt idx="68">
                  <c:v>69.7</c:v>
                </c:pt>
                <c:pt idx="69">
                  <c:v>69.55</c:v>
                </c:pt>
                <c:pt idx="70">
                  <c:v>69.569999999999993</c:v>
                </c:pt>
                <c:pt idx="71">
                  <c:v>69.489999999999995</c:v>
                </c:pt>
                <c:pt idx="72">
                  <c:v>69.2</c:v>
                </c:pt>
                <c:pt idx="73" formatCode="#,##0;\(#,##0\)">
                  <c:v>69</c:v>
                </c:pt>
                <c:pt idx="74">
                  <c:v>67.400000000000006</c:v>
                </c:pt>
                <c:pt idx="75">
                  <c:v>65.47</c:v>
                </c:pt>
                <c:pt idx="76">
                  <c:v>66.62</c:v>
                </c:pt>
                <c:pt idx="77">
                  <c:v>52.88</c:v>
                </c:pt>
                <c:pt idx="78">
                  <c:v>53.41</c:v>
                </c:pt>
                <c:pt idx="79">
                  <c:v>53.43</c:v>
                </c:pt>
                <c:pt idx="80">
                  <c:v>51.56</c:v>
                </c:pt>
                <c:pt idx="81">
                  <c:v>49.92</c:v>
                </c:pt>
                <c:pt idx="82">
                  <c:v>51.17</c:v>
                </c:pt>
                <c:pt idx="83">
                  <c:v>52.8</c:v>
                </c:pt>
                <c:pt idx="84">
                  <c:v>53.4</c:v>
                </c:pt>
                <c:pt idx="85">
                  <c:v>53.21</c:v>
                </c:pt>
                <c:pt idx="86">
                  <c:v>55.14</c:v>
                </c:pt>
                <c:pt idx="87">
                  <c:v>55.27</c:v>
                </c:pt>
                <c:pt idx="88">
                  <c:v>57.67</c:v>
                </c:pt>
                <c:pt idx="89" formatCode="#,##0;\(#,##0\)">
                  <c:v>59</c:v>
                </c:pt>
                <c:pt idx="90">
                  <c:v>59.49</c:v>
                </c:pt>
                <c:pt idx="91">
                  <c:v>58.96</c:v>
                </c:pt>
                <c:pt idx="92" formatCode="#,##0;\(#,##0\)">
                  <c:v>60</c:v>
                </c:pt>
                <c:pt idx="93">
                  <c:v>59.41</c:v>
                </c:pt>
                <c:pt idx="94">
                  <c:v>59.21</c:v>
                </c:pt>
                <c:pt idx="95">
                  <c:v>58.39</c:v>
                </c:pt>
                <c:pt idx="96">
                  <c:v>57.4</c:v>
                </c:pt>
                <c:pt idx="97">
                  <c:v>58.25</c:v>
                </c:pt>
                <c:pt idx="98">
                  <c:v>57.63</c:v>
                </c:pt>
                <c:pt idx="99">
                  <c:v>55.33</c:v>
                </c:pt>
                <c:pt idx="100">
                  <c:v>54.24</c:v>
                </c:pt>
                <c:pt idx="101">
                  <c:v>54.88</c:v>
                </c:pt>
                <c:pt idx="102">
                  <c:v>55.25</c:v>
                </c:pt>
                <c:pt idx="103">
                  <c:v>58.27</c:v>
                </c:pt>
                <c:pt idx="104">
                  <c:v>59.06</c:v>
                </c:pt>
                <c:pt idx="105">
                  <c:v>58.1</c:v>
                </c:pt>
                <c:pt idx="106">
                  <c:v>56.6</c:v>
                </c:pt>
                <c:pt idx="107">
                  <c:v>57.27</c:v>
                </c:pt>
                <c:pt idx="108">
                  <c:v>55.5</c:v>
                </c:pt>
                <c:pt idx="109">
                  <c:v>56.46</c:v>
                </c:pt>
                <c:pt idx="110">
                  <c:v>55.39</c:v>
                </c:pt>
                <c:pt idx="111">
                  <c:v>55.14</c:v>
                </c:pt>
                <c:pt idx="112">
                  <c:v>55.12</c:v>
                </c:pt>
                <c:pt idx="113" formatCode="#,##0;\(#,##0\)">
                  <c:v>55</c:v>
                </c:pt>
                <c:pt idx="114">
                  <c:v>57.75</c:v>
                </c:pt>
                <c:pt idx="115">
                  <c:v>57.16</c:v>
                </c:pt>
                <c:pt idx="116">
                  <c:v>56.57</c:v>
                </c:pt>
                <c:pt idx="117">
                  <c:v>56.24</c:v>
                </c:pt>
                <c:pt idx="118">
                  <c:v>56.87</c:v>
                </c:pt>
                <c:pt idx="119">
                  <c:v>58.36</c:v>
                </c:pt>
                <c:pt idx="120">
                  <c:v>57.08</c:v>
                </c:pt>
                <c:pt idx="121">
                  <c:v>59.59</c:v>
                </c:pt>
                <c:pt idx="122">
                  <c:v>60.65</c:v>
                </c:pt>
                <c:pt idx="123">
                  <c:v>59.91</c:v>
                </c:pt>
                <c:pt idx="124">
                  <c:v>59.16</c:v>
                </c:pt>
                <c:pt idx="125">
                  <c:v>60.42</c:v>
                </c:pt>
                <c:pt idx="126">
                  <c:v>59.18</c:v>
                </c:pt>
                <c:pt idx="127">
                  <c:v>59.9</c:v>
                </c:pt>
                <c:pt idx="128">
                  <c:v>58.94</c:v>
                </c:pt>
                <c:pt idx="129">
                  <c:v>58.23</c:v>
                </c:pt>
                <c:pt idx="130">
                  <c:v>59.08</c:v>
                </c:pt>
                <c:pt idx="131">
                  <c:v>57.7</c:v>
                </c:pt>
                <c:pt idx="132">
                  <c:v>57.68</c:v>
                </c:pt>
                <c:pt idx="133">
                  <c:v>58.43</c:v>
                </c:pt>
                <c:pt idx="134">
                  <c:v>57.23</c:v>
                </c:pt>
                <c:pt idx="135">
                  <c:v>58.35</c:v>
                </c:pt>
                <c:pt idx="136">
                  <c:v>57.55</c:v>
                </c:pt>
                <c:pt idx="137">
                  <c:v>58.83</c:v>
                </c:pt>
                <c:pt idx="138">
                  <c:v>59.54</c:v>
                </c:pt>
                <c:pt idx="139">
                  <c:v>60.05</c:v>
                </c:pt>
                <c:pt idx="140">
                  <c:v>59.13</c:v>
                </c:pt>
                <c:pt idx="141">
                  <c:v>59.37</c:v>
                </c:pt>
                <c:pt idx="142">
                  <c:v>59.26</c:v>
                </c:pt>
                <c:pt idx="143">
                  <c:v>59.6</c:v>
                </c:pt>
                <c:pt idx="144">
                  <c:v>56.71</c:v>
                </c:pt>
                <c:pt idx="145">
                  <c:v>58.33</c:v>
                </c:pt>
                <c:pt idx="146">
                  <c:v>54.44</c:v>
                </c:pt>
                <c:pt idx="147">
                  <c:v>58.19</c:v>
                </c:pt>
                <c:pt idx="148">
                  <c:v>58.4</c:v>
                </c:pt>
                <c:pt idx="149">
                  <c:v>58.85</c:v>
                </c:pt>
                <c:pt idx="150">
                  <c:v>58.62</c:v>
                </c:pt>
                <c:pt idx="151">
                  <c:v>57.87</c:v>
                </c:pt>
                <c:pt idx="152">
                  <c:v>57.35</c:v>
                </c:pt>
                <c:pt idx="153">
                  <c:v>57.26</c:v>
                </c:pt>
                <c:pt idx="154">
                  <c:v>57.81</c:v>
                </c:pt>
                <c:pt idx="155">
                  <c:v>57.27</c:v>
                </c:pt>
                <c:pt idx="156">
                  <c:v>55.57</c:v>
                </c:pt>
                <c:pt idx="157">
                  <c:v>53.58</c:v>
                </c:pt>
                <c:pt idx="158">
                  <c:v>52.33</c:v>
                </c:pt>
                <c:pt idx="159">
                  <c:v>54.15</c:v>
                </c:pt>
                <c:pt idx="160" formatCode="#,##0;\(#,##0\)">
                  <c:v>55</c:v>
                </c:pt>
                <c:pt idx="161">
                  <c:v>55.81</c:v>
                </c:pt>
                <c:pt idx="162">
                  <c:v>56.16</c:v>
                </c:pt>
                <c:pt idx="163">
                  <c:v>55.09</c:v>
                </c:pt>
                <c:pt idx="164">
                  <c:v>54.12</c:v>
                </c:pt>
                <c:pt idx="165">
                  <c:v>56.22</c:v>
                </c:pt>
                <c:pt idx="166">
                  <c:v>49.33</c:v>
                </c:pt>
                <c:pt idx="167">
                  <c:v>51.24</c:v>
                </c:pt>
                <c:pt idx="168">
                  <c:v>51.49</c:v>
                </c:pt>
                <c:pt idx="169">
                  <c:v>56.26</c:v>
                </c:pt>
                <c:pt idx="170">
                  <c:v>59.3</c:v>
                </c:pt>
                <c:pt idx="171">
                  <c:v>58.34</c:v>
                </c:pt>
                <c:pt idx="172">
                  <c:v>58.33</c:v>
                </c:pt>
                <c:pt idx="173">
                  <c:v>58.31</c:v>
                </c:pt>
                <c:pt idx="174">
                  <c:v>59.65</c:v>
                </c:pt>
                <c:pt idx="175">
                  <c:v>59.67</c:v>
                </c:pt>
                <c:pt idx="176">
                  <c:v>60.2</c:v>
                </c:pt>
                <c:pt idx="177">
                  <c:v>60.16</c:v>
                </c:pt>
                <c:pt idx="178">
                  <c:v>58.5</c:v>
                </c:pt>
                <c:pt idx="179">
                  <c:v>57.64</c:v>
                </c:pt>
                <c:pt idx="180">
                  <c:v>57.67</c:v>
                </c:pt>
                <c:pt idx="181">
                  <c:v>57.13</c:v>
                </c:pt>
                <c:pt idx="182">
                  <c:v>56.94</c:v>
                </c:pt>
                <c:pt idx="183">
                  <c:v>55.39</c:v>
                </c:pt>
                <c:pt idx="184">
                  <c:v>52.18</c:v>
                </c:pt>
                <c:pt idx="185">
                  <c:v>53.33</c:v>
                </c:pt>
                <c:pt idx="186">
                  <c:v>53.72</c:v>
                </c:pt>
                <c:pt idx="187">
                  <c:v>54.71</c:v>
                </c:pt>
                <c:pt idx="188">
                  <c:v>55.42</c:v>
                </c:pt>
                <c:pt idx="189">
                  <c:v>54.67</c:v>
                </c:pt>
                <c:pt idx="190">
                  <c:v>57.23</c:v>
                </c:pt>
                <c:pt idx="191">
                  <c:v>57.07</c:v>
                </c:pt>
                <c:pt idx="192">
                  <c:v>59.42</c:v>
                </c:pt>
                <c:pt idx="193">
                  <c:v>61.99</c:v>
                </c:pt>
                <c:pt idx="194">
                  <c:v>61.64</c:v>
                </c:pt>
                <c:pt idx="195">
                  <c:v>62.6</c:v>
                </c:pt>
                <c:pt idx="196">
                  <c:v>62.96</c:v>
                </c:pt>
                <c:pt idx="197">
                  <c:v>64.430000000000007</c:v>
                </c:pt>
                <c:pt idx="198">
                  <c:v>64.650000000000006</c:v>
                </c:pt>
                <c:pt idx="199">
                  <c:v>67.28</c:v>
                </c:pt>
                <c:pt idx="200">
                  <c:v>68.27</c:v>
                </c:pt>
                <c:pt idx="201">
                  <c:v>67.680000000000007</c:v>
                </c:pt>
                <c:pt idx="202">
                  <c:v>66.42</c:v>
                </c:pt>
                <c:pt idx="203">
                  <c:v>66.680000000000007</c:v>
                </c:pt>
                <c:pt idx="204">
                  <c:v>64.81</c:v>
                </c:pt>
                <c:pt idx="205">
                  <c:v>65.25</c:v>
                </c:pt>
                <c:pt idx="206">
                  <c:v>65.760000000000005</c:v>
                </c:pt>
                <c:pt idx="207">
                  <c:v>65.03</c:v>
                </c:pt>
                <c:pt idx="208">
                  <c:v>65.67</c:v>
                </c:pt>
                <c:pt idx="209" formatCode="#,##0;\(#,##0\)">
                  <c:v>66</c:v>
                </c:pt>
                <c:pt idx="210">
                  <c:v>71.739999999999995</c:v>
                </c:pt>
                <c:pt idx="211">
                  <c:v>71.08</c:v>
                </c:pt>
                <c:pt idx="212">
                  <c:v>70.739999999999995</c:v>
                </c:pt>
                <c:pt idx="213">
                  <c:v>70.569999999999993</c:v>
                </c:pt>
                <c:pt idx="214">
                  <c:v>71.400000000000006</c:v>
                </c:pt>
                <c:pt idx="215">
                  <c:v>74.08</c:v>
                </c:pt>
                <c:pt idx="216">
                  <c:v>72.349999999999994</c:v>
                </c:pt>
                <c:pt idx="217">
                  <c:v>71.02</c:v>
                </c:pt>
                <c:pt idx="218" formatCode="#,##0;\(#,##0\)">
                  <c:v>70</c:v>
                </c:pt>
                <c:pt idx="219">
                  <c:v>69.900000000000006</c:v>
                </c:pt>
                <c:pt idx="220">
                  <c:v>69.59</c:v>
                </c:pt>
                <c:pt idx="221">
                  <c:v>69.62</c:v>
                </c:pt>
                <c:pt idx="222">
                  <c:v>70.180000000000007</c:v>
                </c:pt>
                <c:pt idx="223">
                  <c:v>70.23</c:v>
                </c:pt>
                <c:pt idx="224">
                  <c:v>70.5</c:v>
                </c:pt>
                <c:pt idx="225">
                  <c:v>70.42</c:v>
                </c:pt>
                <c:pt idx="226">
                  <c:v>70.290000000000006</c:v>
                </c:pt>
                <c:pt idx="227">
                  <c:v>70.13</c:v>
                </c:pt>
                <c:pt idx="228">
                  <c:v>71.23</c:v>
                </c:pt>
                <c:pt idx="229">
                  <c:v>73.739999999999995</c:v>
                </c:pt>
                <c:pt idx="230">
                  <c:v>72.52</c:v>
                </c:pt>
                <c:pt idx="231">
                  <c:v>71.39</c:v>
                </c:pt>
                <c:pt idx="232">
                  <c:v>72.64</c:v>
                </c:pt>
                <c:pt idx="233">
                  <c:v>72.489999999999995</c:v>
                </c:pt>
                <c:pt idx="234">
                  <c:v>73.72</c:v>
                </c:pt>
                <c:pt idx="235">
                  <c:v>74.150000000000006</c:v>
                </c:pt>
                <c:pt idx="236">
                  <c:v>74.23</c:v>
                </c:pt>
                <c:pt idx="237">
                  <c:v>73.989999999999995</c:v>
                </c:pt>
                <c:pt idx="238">
                  <c:v>74.84</c:v>
                </c:pt>
                <c:pt idx="239" formatCode="#,##0;\(#,##0\)">
                  <c:v>74</c:v>
                </c:pt>
                <c:pt idx="240">
                  <c:v>73.59</c:v>
                </c:pt>
                <c:pt idx="241">
                  <c:v>77.459999999999994</c:v>
                </c:pt>
                <c:pt idx="242">
                  <c:v>77.39</c:v>
                </c:pt>
                <c:pt idx="243">
                  <c:v>77.17</c:v>
                </c:pt>
                <c:pt idx="244">
                  <c:v>77.53</c:v>
                </c:pt>
                <c:pt idx="245">
                  <c:v>78.290000000000006</c:v>
                </c:pt>
                <c:pt idx="246">
                  <c:v>77.95</c:v>
                </c:pt>
                <c:pt idx="247">
                  <c:v>79.23</c:v>
                </c:pt>
                <c:pt idx="248">
                  <c:v>78.56</c:v>
                </c:pt>
                <c:pt idx="249">
                  <c:v>77.209999999999994</c:v>
                </c:pt>
                <c:pt idx="250">
                  <c:v>80.709999999999994</c:v>
                </c:pt>
                <c:pt idx="251">
                  <c:v>80.489999999999995</c:v>
                </c:pt>
                <c:pt idx="252">
                  <c:v>81.39</c:v>
                </c:pt>
                <c:pt idx="253">
                  <c:v>79.989999999999995</c:v>
                </c:pt>
                <c:pt idx="254">
                  <c:v>79.87</c:v>
                </c:pt>
                <c:pt idx="255">
                  <c:v>79.680000000000007</c:v>
                </c:pt>
                <c:pt idx="256">
                  <c:v>81.8</c:v>
                </c:pt>
                <c:pt idx="257">
                  <c:v>79.790000000000006</c:v>
                </c:pt>
                <c:pt idx="258">
                  <c:v>78.7</c:v>
                </c:pt>
                <c:pt idx="259">
                  <c:v>75.91</c:v>
                </c:pt>
                <c:pt idx="260">
                  <c:v>74.760000000000005</c:v>
                </c:pt>
                <c:pt idx="261">
                  <c:v>74.650000000000006</c:v>
                </c:pt>
                <c:pt idx="262">
                  <c:v>74.56</c:v>
                </c:pt>
                <c:pt idx="263">
                  <c:v>76.739999999999995</c:v>
                </c:pt>
                <c:pt idx="264">
                  <c:v>77.17</c:v>
                </c:pt>
                <c:pt idx="265">
                  <c:v>78.959999999999994</c:v>
                </c:pt>
                <c:pt idx="266">
                  <c:v>79.66</c:v>
                </c:pt>
                <c:pt idx="267">
                  <c:v>81.14</c:v>
                </c:pt>
                <c:pt idx="268">
                  <c:v>80.63</c:v>
                </c:pt>
                <c:pt idx="269">
                  <c:v>80.95</c:v>
                </c:pt>
                <c:pt idx="270">
                  <c:v>77.16</c:v>
                </c:pt>
                <c:pt idx="271">
                  <c:v>75.400000000000006</c:v>
                </c:pt>
                <c:pt idx="272">
                  <c:v>75.23</c:v>
                </c:pt>
                <c:pt idx="273">
                  <c:v>70.95</c:v>
                </c:pt>
                <c:pt idx="274">
                  <c:v>70.08</c:v>
                </c:pt>
                <c:pt idx="275">
                  <c:v>65.319999999999993</c:v>
                </c:pt>
                <c:pt idx="276">
                  <c:v>65.11</c:v>
                </c:pt>
                <c:pt idx="277">
                  <c:v>64.84</c:v>
                </c:pt>
                <c:pt idx="278">
                  <c:v>65.06</c:v>
                </c:pt>
                <c:pt idx="279">
                  <c:v>64.86</c:v>
                </c:pt>
                <c:pt idx="280">
                  <c:v>64.739999999999995</c:v>
                </c:pt>
                <c:pt idx="281">
                  <c:v>64.790000000000006</c:v>
                </c:pt>
                <c:pt idx="282" formatCode="#,##0;\(#,##0\)">
                  <c:v>65</c:v>
                </c:pt>
                <c:pt idx="283">
                  <c:v>63.89</c:v>
                </c:pt>
                <c:pt idx="284">
                  <c:v>63.96</c:v>
                </c:pt>
                <c:pt idx="285">
                  <c:v>63.96</c:v>
                </c:pt>
                <c:pt idx="286">
                  <c:v>63.44</c:v>
                </c:pt>
                <c:pt idx="287">
                  <c:v>61.97</c:v>
                </c:pt>
                <c:pt idx="288">
                  <c:v>62.38</c:v>
                </c:pt>
                <c:pt idx="289">
                  <c:v>61.84</c:v>
                </c:pt>
                <c:pt idx="290">
                  <c:v>60.5</c:v>
                </c:pt>
                <c:pt idx="291">
                  <c:v>60.7</c:v>
                </c:pt>
                <c:pt idx="292">
                  <c:v>61.86</c:v>
                </c:pt>
                <c:pt idx="293">
                  <c:v>61.59</c:v>
                </c:pt>
                <c:pt idx="294">
                  <c:v>61.76</c:v>
                </c:pt>
                <c:pt idx="295">
                  <c:v>60.8</c:v>
                </c:pt>
                <c:pt idx="296">
                  <c:v>61.25</c:v>
                </c:pt>
                <c:pt idx="297">
                  <c:v>60.2</c:v>
                </c:pt>
                <c:pt idx="298">
                  <c:v>58.79</c:v>
                </c:pt>
                <c:pt idx="299">
                  <c:v>58.49</c:v>
                </c:pt>
                <c:pt idx="300">
                  <c:v>60.41</c:v>
                </c:pt>
                <c:pt idx="301">
                  <c:v>59.2</c:v>
                </c:pt>
                <c:pt idx="302">
                  <c:v>58.91</c:v>
                </c:pt>
                <c:pt idx="303">
                  <c:v>59.64</c:v>
                </c:pt>
                <c:pt idx="304">
                  <c:v>59.18</c:v>
                </c:pt>
                <c:pt idx="305">
                  <c:v>58.99</c:v>
                </c:pt>
                <c:pt idx="306">
                  <c:v>59.6</c:v>
                </c:pt>
                <c:pt idx="307">
                  <c:v>59.41</c:v>
                </c:pt>
                <c:pt idx="308">
                  <c:v>58.76</c:v>
                </c:pt>
                <c:pt idx="309">
                  <c:v>57.9</c:v>
                </c:pt>
                <c:pt idx="310">
                  <c:v>57.47</c:v>
                </c:pt>
                <c:pt idx="311">
                  <c:v>56.81</c:v>
                </c:pt>
                <c:pt idx="312">
                  <c:v>54.47</c:v>
                </c:pt>
                <c:pt idx="313">
                  <c:v>54.19</c:v>
                </c:pt>
                <c:pt idx="314">
                  <c:v>54.76</c:v>
                </c:pt>
                <c:pt idx="315">
                  <c:v>55.54</c:v>
                </c:pt>
                <c:pt idx="316">
                  <c:v>57.17</c:v>
                </c:pt>
                <c:pt idx="317">
                  <c:v>58.03</c:v>
                </c:pt>
                <c:pt idx="318">
                  <c:v>57.07</c:v>
                </c:pt>
                <c:pt idx="319">
                  <c:v>58.55</c:v>
                </c:pt>
                <c:pt idx="320" formatCode="#,##0;\(#,##0\)">
                  <c:v>59</c:v>
                </c:pt>
                <c:pt idx="321">
                  <c:v>56.75</c:v>
                </c:pt>
                <c:pt idx="322">
                  <c:v>55.09</c:v>
                </c:pt>
                <c:pt idx="323">
                  <c:v>54.66</c:v>
                </c:pt>
                <c:pt idx="324">
                  <c:v>54.73</c:v>
                </c:pt>
                <c:pt idx="325">
                  <c:v>55.57</c:v>
                </c:pt>
                <c:pt idx="326">
                  <c:v>55.4</c:v>
                </c:pt>
                <c:pt idx="327">
                  <c:v>55.5</c:v>
                </c:pt>
                <c:pt idx="328">
                  <c:v>54.06</c:v>
                </c:pt>
                <c:pt idx="329">
                  <c:v>52.95</c:v>
                </c:pt>
                <c:pt idx="330">
                  <c:v>51.08</c:v>
                </c:pt>
                <c:pt idx="331">
                  <c:v>53.06</c:v>
                </c:pt>
                <c:pt idx="332">
                  <c:v>53.78</c:v>
                </c:pt>
                <c:pt idx="333">
                  <c:v>52.13</c:v>
                </c:pt>
                <c:pt idx="334">
                  <c:v>52.49</c:v>
                </c:pt>
                <c:pt idx="335">
                  <c:v>52.96</c:v>
                </c:pt>
                <c:pt idx="336">
                  <c:v>53.23</c:v>
                </c:pt>
                <c:pt idx="337">
                  <c:v>56.56</c:v>
                </c:pt>
                <c:pt idx="338">
                  <c:v>59.28</c:v>
                </c:pt>
                <c:pt idx="339">
                  <c:v>53.68</c:v>
                </c:pt>
                <c:pt idx="340">
                  <c:v>53.53</c:v>
                </c:pt>
                <c:pt idx="341">
                  <c:v>52.11</c:v>
                </c:pt>
                <c:pt idx="342">
                  <c:v>51.8</c:v>
                </c:pt>
                <c:pt idx="343">
                  <c:v>51.29</c:v>
                </c:pt>
                <c:pt idx="344">
                  <c:v>53.12</c:v>
                </c:pt>
                <c:pt idx="345">
                  <c:v>53.71</c:v>
                </c:pt>
                <c:pt idx="346">
                  <c:v>53.34</c:v>
                </c:pt>
                <c:pt idx="347">
                  <c:v>53.23</c:v>
                </c:pt>
                <c:pt idx="348">
                  <c:v>55.61</c:v>
                </c:pt>
                <c:pt idx="349">
                  <c:v>55.61</c:v>
                </c:pt>
                <c:pt idx="350">
                  <c:v>53.9</c:v>
                </c:pt>
                <c:pt idx="351">
                  <c:v>53.02</c:v>
                </c:pt>
                <c:pt idx="352">
                  <c:v>51.04</c:v>
                </c:pt>
                <c:pt idx="353">
                  <c:v>48.99</c:v>
                </c:pt>
                <c:pt idx="354">
                  <c:v>48.32</c:v>
                </c:pt>
                <c:pt idx="355">
                  <c:v>48.46</c:v>
                </c:pt>
                <c:pt idx="356">
                  <c:v>50.84</c:v>
                </c:pt>
                <c:pt idx="357">
                  <c:v>51.26</c:v>
                </c:pt>
                <c:pt idx="358">
                  <c:v>50.75</c:v>
                </c:pt>
                <c:pt idx="359">
                  <c:v>50.33</c:v>
                </c:pt>
                <c:pt idx="360">
                  <c:v>49.6</c:v>
                </c:pt>
                <c:pt idx="361">
                  <c:v>49.7</c:v>
                </c:pt>
                <c:pt idx="362">
                  <c:v>49.9</c:v>
                </c:pt>
                <c:pt idx="363">
                  <c:v>49.7</c:v>
                </c:pt>
                <c:pt idx="364">
                  <c:v>50.21</c:v>
                </c:pt>
                <c:pt idx="365">
                  <c:v>50.17</c:v>
                </c:pt>
                <c:pt idx="366">
                  <c:v>49.86</c:v>
                </c:pt>
                <c:pt idx="367">
                  <c:v>49.16</c:v>
                </c:pt>
                <c:pt idx="368">
                  <c:v>50.02</c:v>
                </c:pt>
                <c:pt idx="369">
                  <c:v>50.49</c:v>
                </c:pt>
                <c:pt idx="370">
                  <c:v>51.02</c:v>
                </c:pt>
                <c:pt idx="371">
                  <c:v>52.34</c:v>
                </c:pt>
                <c:pt idx="372">
                  <c:v>50.93</c:v>
                </c:pt>
                <c:pt idx="373">
                  <c:v>50.68</c:v>
                </c:pt>
                <c:pt idx="374">
                  <c:v>51.53</c:v>
                </c:pt>
                <c:pt idx="375">
                  <c:v>51.66</c:v>
                </c:pt>
                <c:pt idx="376">
                  <c:v>49.52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7B-493D-8A9B-1B0ADB040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0551544"/>
        <c:axId val="810551904"/>
      </c:lineChart>
      <c:dateAx>
        <c:axId val="810551544"/>
        <c:scaling>
          <c:orientation val="minMax"/>
        </c:scaling>
        <c:delete val="0"/>
        <c:axPos val="b"/>
        <c:numFmt formatCode="mmm\ 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0551904"/>
        <c:crosses val="autoZero"/>
        <c:auto val="1"/>
        <c:lblOffset val="100"/>
        <c:baseTimeUnit val="days"/>
        <c:majorUnit val="2"/>
        <c:majorTimeUnit val="months"/>
        <c:minorUnit val="2"/>
        <c:minorTimeUnit val="months"/>
      </c:dateAx>
      <c:valAx>
        <c:axId val="810551904"/>
        <c:scaling>
          <c:orientation val="minMax"/>
          <c:min val="40"/>
        </c:scaling>
        <c:delete val="0"/>
        <c:axPos val="l"/>
        <c:numFmt formatCode="\$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0551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220229</xdr:colOff>
      <xdr:row>5</xdr:row>
      <xdr:rowOff>137161</xdr:rowOff>
    </xdr:from>
    <xdr:to>
      <xdr:col>7</xdr:col>
      <xdr:colOff>99060</xdr:colOff>
      <xdr:row>10</xdr:row>
      <xdr:rowOff>70303</xdr:rowOff>
    </xdr:to>
    <xdr:pic>
      <xdr:nvPicPr>
        <xdr:cNvPr id="4" name="Picture 3" descr="Compare Dayforce HCM vs ADP GlobalView Payroll 2025 | Capterra">
          <a:extLst>
            <a:ext uri="{FF2B5EF4-FFF2-40B4-BE49-F238E27FC236}">
              <a16:creationId xmlns:a16="http://schemas.microsoft.com/office/drawing/2014/main" id="{3FB6C3C3-1B57-8122-07A9-104F4CEC8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889" y="1074421"/>
          <a:ext cx="3536431" cy="847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440364</xdr:colOff>
      <xdr:row>3</xdr:row>
      <xdr:rowOff>144780</xdr:rowOff>
    </xdr:from>
    <xdr:to>
      <xdr:col>15</xdr:col>
      <xdr:colOff>589741</xdr:colOff>
      <xdr:row>13</xdr:row>
      <xdr:rowOff>84709</xdr:rowOff>
    </xdr:to>
    <xdr:pic>
      <xdr:nvPicPr>
        <xdr:cNvPr id="5" name="Picture 4" descr="Thoma Bravo Logo Download in SVG Vector or PNG File Format">
          <a:extLst>
            <a:ext uri="{FF2B5EF4-FFF2-40B4-BE49-F238E27FC236}">
              <a16:creationId xmlns:a16="http://schemas.microsoft.com/office/drawing/2014/main" id="{5763E5E5-A69F-998B-D848-578D3458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6024" y="502920"/>
          <a:ext cx="5635777" cy="1982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80</xdr:row>
      <xdr:rowOff>159426</xdr:rowOff>
    </xdr:from>
    <xdr:to>
      <xdr:col>11</xdr:col>
      <xdr:colOff>0</xdr:colOff>
      <xdr:row>93</xdr:row>
      <xdr:rowOff>170329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34C6E2A5-3F25-BA6E-780E-D44CE996FD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457199</xdr:colOff>
      <xdr:row>80</xdr:row>
      <xdr:rowOff>92528</xdr:rowOff>
    </xdr:from>
    <xdr:to>
      <xdr:col>7</xdr:col>
      <xdr:colOff>179615</xdr:colOff>
      <xdr:row>93</xdr:row>
      <xdr:rowOff>87086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BBE98888-059B-16D7-3456-C5A04595CD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63</xdr:row>
      <xdr:rowOff>64992</xdr:rowOff>
    </xdr:from>
    <xdr:to>
      <xdr:col>19</xdr:col>
      <xdr:colOff>0</xdr:colOff>
      <xdr:row>77</xdr:row>
      <xdr:rowOff>0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7D410E60-2363-47CA-24F5-CD0149F90D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63</xdr:row>
      <xdr:rowOff>64994</xdr:rowOff>
    </xdr:from>
    <xdr:to>
      <xdr:col>11</xdr:col>
      <xdr:colOff>0</xdr:colOff>
      <xdr:row>77</xdr:row>
      <xdr:rowOff>0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EB3F7EC0-938A-006D-5A35-4C6CEB21BF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478971</xdr:colOff>
      <xdr:row>63</xdr:row>
      <xdr:rowOff>5443</xdr:rowOff>
    </xdr:from>
    <xdr:to>
      <xdr:col>7</xdr:col>
      <xdr:colOff>328385</xdr:colOff>
      <xdr:row>76</xdr:row>
      <xdr:rowOff>76201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84027560-DEF5-BBA4-B16E-93661894CF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0</xdr:colOff>
      <xdr:row>63</xdr:row>
      <xdr:rowOff>32658</xdr:rowOff>
    </xdr:from>
    <xdr:to>
      <xdr:col>27</xdr:col>
      <xdr:colOff>0</xdr:colOff>
      <xdr:row>77</xdr:row>
      <xdr:rowOff>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25BFA955-7ADC-EFA8-4422-BDF527E476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</xdr:colOff>
      <xdr:row>80</xdr:row>
      <xdr:rowOff>98612</xdr:rowOff>
    </xdr:from>
    <xdr:to>
      <xdr:col>19</xdr:col>
      <xdr:colOff>1</xdr:colOff>
      <xdr:row>94</xdr:row>
      <xdr:rowOff>0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CDB83DF6-609F-7F3B-3D9A-559BC62802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553249</xdr:colOff>
      <xdr:row>80</xdr:row>
      <xdr:rowOff>19849</xdr:rowOff>
    </xdr:from>
    <xdr:to>
      <xdr:col>27</xdr:col>
      <xdr:colOff>99851</xdr:colOff>
      <xdr:row>94</xdr:row>
      <xdr:rowOff>32657</xdr:rowOff>
    </xdr:to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31C96FC1-9F91-7E97-F0DE-2C07E1CED8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5</xdr:row>
      <xdr:rowOff>0</xdr:rowOff>
    </xdr:from>
    <xdr:to>
      <xdr:col>33</xdr:col>
      <xdr:colOff>258402</xdr:colOff>
      <xdr:row>9</xdr:row>
      <xdr:rowOff>21060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4A6568-2594-9E24-04F5-59363F023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27580" y="960120"/>
          <a:ext cx="8792802" cy="75258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 editAs="oneCell">
    <xdr:from>
      <xdr:col>19</xdr:col>
      <xdr:colOff>0</xdr:colOff>
      <xdr:row>12</xdr:row>
      <xdr:rowOff>0</xdr:rowOff>
    </xdr:from>
    <xdr:to>
      <xdr:col>33</xdr:col>
      <xdr:colOff>258402</xdr:colOff>
      <xdr:row>15</xdr:row>
      <xdr:rowOff>175361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79D48E-0EF9-E91D-FE46-AD7AF7CB6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927580" y="2240280"/>
          <a:ext cx="8792802" cy="724001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28575</xdr:rowOff>
    </xdr:from>
    <xdr:ext cx="1524000" cy="419100"/>
    <xdr:pic>
      <xdr:nvPicPr>
        <xdr:cNvPr id="2" name="Picture 1">
          <a:extLst>
            <a:ext uri="{FF2B5EF4-FFF2-40B4-BE49-F238E27FC236}">
              <a16:creationId xmlns:a16="http://schemas.microsoft.com/office/drawing/2014/main" id="{94FEBAD0-A2C1-4DDB-82F4-27A48C194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524000" cy="41910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863599</xdr:colOff>
      <xdr:row>4</xdr:row>
      <xdr:rowOff>29104</xdr:rowOff>
    </xdr:from>
    <xdr:to>
      <xdr:col>11</xdr:col>
      <xdr:colOff>187324</xdr:colOff>
      <xdr:row>18</xdr:row>
      <xdr:rowOff>105305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20D140-46A2-1A19-41D4-2347F85F2A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254002</xdr:colOff>
      <xdr:row>11</xdr:row>
      <xdr:rowOff>62442</xdr:rowOff>
    </xdr:from>
    <xdr:to>
      <xdr:col>15</xdr:col>
      <xdr:colOff>64150</xdr:colOff>
      <xdr:row>24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6B54948-96EE-AD04-3C9C-FB2E9572C0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21167</xdr:colOff>
      <xdr:row>10</xdr:row>
      <xdr:rowOff>147107</xdr:rowOff>
    </xdr:from>
    <xdr:to>
      <xdr:col>20</xdr:col>
      <xdr:colOff>31749</xdr:colOff>
      <xdr:row>25</xdr:row>
      <xdr:rowOff>7407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5AEFA6E-538C-3805-E733-69F9681584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1111251</xdr:colOff>
      <xdr:row>34</xdr:row>
      <xdr:rowOff>83608</xdr:rowOff>
    </xdr:from>
    <xdr:to>
      <xdr:col>8</xdr:col>
      <xdr:colOff>259292</xdr:colOff>
      <xdr:row>45</xdr:row>
      <xdr:rowOff>42333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E9A49-9DC8-77AA-C193-48E9D86BC0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174624</xdr:colOff>
      <xdr:row>34</xdr:row>
      <xdr:rowOff>109803</xdr:rowOff>
    </xdr:from>
    <xdr:to>
      <xdr:col>13</xdr:col>
      <xdr:colOff>687918</xdr:colOff>
      <xdr:row>45</xdr:row>
      <xdr:rowOff>74083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884166-5B32-7C1B-9448-42C8F9B691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33131</xdr:colOff>
      <xdr:row>15</xdr:row>
      <xdr:rowOff>69574</xdr:rowOff>
    </xdr:from>
    <xdr:to>
      <xdr:col>15</xdr:col>
      <xdr:colOff>361950</xdr:colOff>
      <xdr:row>30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F3E614-E629-4FAB-693E-AECB36CD21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28575</xdr:rowOff>
    </xdr:from>
    <xdr:ext cx="1524000" cy="419100"/>
    <xdr:pic>
      <xdr:nvPicPr>
        <xdr:cNvPr id="2" name="Picture 1">
          <a:extLst>
            <a:ext uri="{FF2B5EF4-FFF2-40B4-BE49-F238E27FC236}">
              <a16:creationId xmlns:a16="http://schemas.microsoft.com/office/drawing/2014/main" id="{C4A50352-62DD-4B03-8829-9D36A609A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524000" cy="41910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28575</xdr:rowOff>
    </xdr:from>
    <xdr:ext cx="1524000" cy="419100"/>
    <xdr:pic>
      <xdr:nvPicPr>
        <xdr:cNvPr id="2" name="Picture 1">
          <a:extLst>
            <a:ext uri="{FF2B5EF4-FFF2-40B4-BE49-F238E27FC236}">
              <a16:creationId xmlns:a16="http://schemas.microsoft.com/office/drawing/2014/main" id="{AC68855B-4F87-4A3B-A4B6-CDE4788B26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524000" cy="41910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28575</xdr:rowOff>
    </xdr:from>
    <xdr:ext cx="1524000" cy="419100"/>
    <xdr:pic>
      <xdr:nvPicPr>
        <xdr:cNvPr id="2" name="Picture 1">
          <a:extLst>
            <a:ext uri="{FF2B5EF4-FFF2-40B4-BE49-F238E27FC236}">
              <a16:creationId xmlns:a16="http://schemas.microsoft.com/office/drawing/2014/main" id="{FFEA1AA2-A16B-4332-AC72-106F2B6AC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524000" cy="4191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lsepes.com/reports" TargetMode="External"/><Relationship Id="rId1" Type="http://schemas.openxmlformats.org/officeDocument/2006/relationships/hyperlink" Target="https://www.linkedin.com/company/lsesu-private-equity-society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hyperlink" Target="https://www.reuters.com/legal/transactional/dayforce-go-private-123-billion-thoma-bravo-acquisition-2025-08-21/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1E16C-EFCD-4BB2-9AB2-C5F7B930FF55}">
  <dimension ref="B1:Q17"/>
  <sheetViews>
    <sheetView showGridLines="0" tabSelected="1" workbookViewId="0">
      <selection activeCell="B2" sqref="B2"/>
    </sheetView>
  </sheetViews>
  <sheetFormatPr defaultRowHeight="14.4" x14ac:dyDescent="0.3"/>
  <cols>
    <col min="1" max="1" width="4.77734375" customWidth="1"/>
  </cols>
  <sheetData>
    <row r="1" spans="2:17" ht="15" thickBot="1" x14ac:dyDescent="0.35"/>
    <row r="2" spans="2:17" ht="7.05" customHeight="1" x14ac:dyDescent="0.3">
      <c r="B2" s="438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40"/>
    </row>
    <row r="3" spans="2:17" ht="7.05" customHeight="1" x14ac:dyDescent="0.3">
      <c r="B3" s="441"/>
      <c r="O3" s="442"/>
    </row>
    <row r="4" spans="2:17" ht="31.2" x14ac:dyDescent="0.6">
      <c r="B4" s="441"/>
      <c r="D4" s="446" t="s">
        <v>600</v>
      </c>
      <c r="E4" s="446"/>
      <c r="F4" s="446"/>
      <c r="G4" s="446"/>
      <c r="H4" s="446"/>
      <c r="I4" s="446"/>
      <c r="J4" s="446"/>
      <c r="K4" s="446"/>
      <c r="L4" s="446"/>
      <c r="M4" s="446"/>
      <c r="O4" s="442"/>
    </row>
    <row r="5" spans="2:17" x14ac:dyDescent="0.3">
      <c r="B5" s="441"/>
      <c r="O5" s="442"/>
    </row>
    <row r="6" spans="2:17" x14ac:dyDescent="0.3">
      <c r="B6" s="441"/>
      <c r="O6" s="442"/>
    </row>
    <row r="7" spans="2:17" x14ac:dyDescent="0.3">
      <c r="B7" s="441"/>
      <c r="O7" s="442"/>
    </row>
    <row r="8" spans="2:17" x14ac:dyDescent="0.3">
      <c r="B8" s="441"/>
      <c r="O8" s="442"/>
    </row>
    <row r="9" spans="2:17" x14ac:dyDescent="0.3">
      <c r="B9" s="441"/>
      <c r="O9" s="442"/>
    </row>
    <row r="10" spans="2:17" x14ac:dyDescent="0.3">
      <c r="B10" s="441"/>
      <c r="O10" s="442"/>
    </row>
    <row r="11" spans="2:17" x14ac:dyDescent="0.3">
      <c r="B11" s="441"/>
      <c r="O11" s="442"/>
    </row>
    <row r="12" spans="2:17" x14ac:dyDescent="0.3">
      <c r="B12" s="441"/>
      <c r="O12" s="442"/>
    </row>
    <row r="13" spans="2:17" x14ac:dyDescent="0.3">
      <c r="B13" s="441"/>
      <c r="O13" s="442"/>
    </row>
    <row r="14" spans="2:17" x14ac:dyDescent="0.3">
      <c r="B14" s="441"/>
      <c r="O14" s="442"/>
    </row>
    <row r="15" spans="2:17" x14ac:dyDescent="0.3">
      <c r="B15" s="441"/>
      <c r="O15" s="442"/>
    </row>
    <row r="16" spans="2:17" x14ac:dyDescent="0.3">
      <c r="B16" s="441"/>
      <c r="C16" s="448" t="s">
        <v>601</v>
      </c>
      <c r="L16" s="33"/>
      <c r="O16" s="442"/>
    </row>
    <row r="17" spans="2:15" ht="15" thickBot="1" x14ac:dyDescent="0.35">
      <c r="B17" s="443"/>
      <c r="C17" s="447" t="s">
        <v>602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5"/>
    </row>
  </sheetData>
  <hyperlinks>
    <hyperlink ref="C17" r:id="rId1" xr:uid="{CFC7F58F-3CC6-49A9-BE80-8E5BFAC1AD55}"/>
    <hyperlink ref="C16" r:id="rId2" xr:uid="{32E46229-2064-419B-8100-51DCE6B857D2}"/>
  </hyperlinks>
  <pageMargins left="0.7" right="0.7" top="0.75" bottom="0.75" header="0.3" footer="0.3"/>
  <drawing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181C2-B06D-4CD9-A44F-FB8DDBC658FD}">
  <sheetPr codeName="Sheet8"/>
  <dimension ref="B1:M90"/>
  <sheetViews>
    <sheetView showGridLines="0" workbookViewId="0">
      <selection activeCell="B2" sqref="B2:M2"/>
    </sheetView>
  </sheetViews>
  <sheetFormatPr defaultRowHeight="14.4" x14ac:dyDescent="0.3"/>
  <cols>
    <col min="1" max="1" width="4.77734375" customWidth="1"/>
    <col min="2" max="2" width="48.33203125" customWidth="1"/>
    <col min="3" max="6" width="16.109375" customWidth="1"/>
  </cols>
  <sheetData>
    <row r="1" spans="2:13" ht="40.200000000000003" customHeight="1" x14ac:dyDescent="0.3">
      <c r="B1" s="455"/>
      <c r="C1" s="455"/>
      <c r="D1" s="455"/>
      <c r="E1" s="455"/>
    </row>
    <row r="2" spans="2:13" ht="30" customHeight="1" x14ac:dyDescent="0.35">
      <c r="B2" s="457" t="s">
        <v>326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2:13" x14ac:dyDescent="0.3">
      <c r="B3" s="45" t="s">
        <v>327</v>
      </c>
    </row>
    <row r="5" spans="2:13" x14ac:dyDescent="0.3">
      <c r="B5" s="45" t="s">
        <v>328</v>
      </c>
      <c r="C5" s="46"/>
    </row>
    <row r="6" spans="2:13" x14ac:dyDescent="0.3">
      <c r="B6" s="45" t="s">
        <v>329</v>
      </c>
      <c r="C6" s="46"/>
    </row>
    <row r="7" spans="2:13" x14ac:dyDescent="0.3">
      <c r="B7" s="45" t="s">
        <v>404</v>
      </c>
      <c r="C7" s="46"/>
    </row>
    <row r="8" spans="2:13" x14ac:dyDescent="0.3">
      <c r="B8" s="45" t="s">
        <v>331</v>
      </c>
      <c r="C8" s="46"/>
    </row>
    <row r="9" spans="2:13" x14ac:dyDescent="0.3">
      <c r="B9" s="45" t="s">
        <v>332</v>
      </c>
      <c r="C9" s="46"/>
    </row>
    <row r="10" spans="2:13" x14ac:dyDescent="0.3">
      <c r="B10" s="45" t="s">
        <v>333</v>
      </c>
      <c r="C10" s="46"/>
    </row>
    <row r="11" spans="2:13" x14ac:dyDescent="0.3">
      <c r="B11" s="45" t="s">
        <v>334</v>
      </c>
      <c r="C11" s="46"/>
    </row>
    <row r="12" spans="2:13" x14ac:dyDescent="0.3">
      <c r="B12" s="456"/>
      <c r="C12" s="456"/>
      <c r="D12" s="456"/>
      <c r="E12" s="456"/>
      <c r="F12" s="456"/>
    </row>
    <row r="13" spans="2:13" x14ac:dyDescent="0.3">
      <c r="B13" s="47" t="s">
        <v>335</v>
      </c>
      <c r="C13" s="62" t="s">
        <v>408</v>
      </c>
      <c r="D13" s="62" t="s">
        <v>409</v>
      </c>
      <c r="E13" s="62" t="s">
        <v>410</v>
      </c>
      <c r="F13" s="62" t="s">
        <v>411</v>
      </c>
    </row>
    <row r="14" spans="2:13" x14ac:dyDescent="0.3">
      <c r="B14" s="45" t="s">
        <v>340</v>
      </c>
      <c r="C14" s="48" t="s">
        <v>341</v>
      </c>
      <c r="D14" s="48" t="s">
        <v>341</v>
      </c>
      <c r="E14" s="48" t="s">
        <v>341</v>
      </c>
      <c r="F14" s="48" t="s">
        <v>341</v>
      </c>
    </row>
    <row r="15" spans="2:13" x14ac:dyDescent="0.3">
      <c r="B15" s="45" t="s">
        <v>342</v>
      </c>
      <c r="C15" s="49">
        <v>44561</v>
      </c>
      <c r="D15" s="49">
        <v>44926</v>
      </c>
      <c r="E15" s="49">
        <v>45291</v>
      </c>
      <c r="F15" s="49">
        <v>45657</v>
      </c>
    </row>
    <row r="16" spans="2:13" x14ac:dyDescent="0.3">
      <c r="B16" s="45" t="s">
        <v>343</v>
      </c>
      <c r="C16" s="49">
        <v>45350</v>
      </c>
      <c r="D16" s="49">
        <v>45716</v>
      </c>
      <c r="E16" s="49">
        <v>45716</v>
      </c>
      <c r="F16" s="49">
        <v>45716</v>
      </c>
    </row>
    <row r="17" spans="2:6" x14ac:dyDescent="0.3">
      <c r="B17" s="45" t="s">
        <v>344</v>
      </c>
      <c r="C17" s="48" t="s">
        <v>345</v>
      </c>
      <c r="D17" s="48" t="s">
        <v>345</v>
      </c>
      <c r="E17" s="48" t="s">
        <v>345</v>
      </c>
      <c r="F17" s="48" t="s">
        <v>345</v>
      </c>
    </row>
    <row r="18" spans="2:6" x14ac:dyDescent="0.3">
      <c r="B18" s="45" t="s">
        <v>340</v>
      </c>
      <c r="C18" s="48"/>
      <c r="D18" s="48"/>
      <c r="E18" s="48"/>
      <c r="F18" s="48"/>
    </row>
    <row r="19" spans="2:6" x14ac:dyDescent="0.3">
      <c r="B19" s="44" t="s">
        <v>346</v>
      </c>
      <c r="C19" s="48"/>
      <c r="D19" s="48"/>
      <c r="E19" s="48"/>
      <c r="F19" s="48"/>
    </row>
    <row r="20" spans="2:6" x14ac:dyDescent="0.3">
      <c r="B20" s="45" t="s">
        <v>347</v>
      </c>
      <c r="C20" s="51">
        <v>367.5</v>
      </c>
      <c r="D20" s="51">
        <v>431.90000000000003</v>
      </c>
      <c r="E20" s="51">
        <v>570.30000000000007</v>
      </c>
      <c r="F20" s="51">
        <v>579.70000000000005</v>
      </c>
    </row>
    <row r="21" spans="2:6" x14ac:dyDescent="0.3">
      <c r="B21" s="45" t="s">
        <v>348</v>
      </c>
      <c r="C21" s="51">
        <v>367.5</v>
      </c>
      <c r="D21" s="51">
        <v>431.90000000000003</v>
      </c>
      <c r="E21" s="51">
        <v>570.30000000000007</v>
      </c>
      <c r="F21" s="51">
        <v>579.70000000000005</v>
      </c>
    </row>
    <row r="22" spans="2:6" x14ac:dyDescent="0.3">
      <c r="B22" s="45" t="s">
        <v>150</v>
      </c>
      <c r="C22" s="51">
        <v>122.4</v>
      </c>
      <c r="D22" s="51">
        <v>133.80000000000001</v>
      </c>
      <c r="E22" s="51">
        <v>163.5</v>
      </c>
      <c r="F22" s="51">
        <v>204.1</v>
      </c>
    </row>
    <row r="23" spans="2:6" x14ac:dyDescent="0.3">
      <c r="B23" s="45" t="s">
        <v>349</v>
      </c>
      <c r="C23" s="51">
        <v>23.900000000000002</v>
      </c>
      <c r="D23" s="51">
        <v>46.300000000000004</v>
      </c>
      <c r="E23" s="51">
        <v>65.3</v>
      </c>
      <c r="F23" s="51">
        <v>60.7</v>
      </c>
    </row>
    <row r="24" spans="2:6" x14ac:dyDescent="0.3">
      <c r="B24" s="45" t="s">
        <v>350</v>
      </c>
      <c r="C24" s="51">
        <v>146.30000000000001</v>
      </c>
      <c r="D24" s="51">
        <v>180.1</v>
      </c>
      <c r="E24" s="51">
        <v>228.8</v>
      </c>
      <c r="F24" s="51">
        <v>264.8</v>
      </c>
    </row>
    <row r="25" spans="2:6" x14ac:dyDescent="0.3">
      <c r="B25" s="45" t="s">
        <v>351</v>
      </c>
      <c r="C25" s="51">
        <v>89.2</v>
      </c>
      <c r="D25" s="51">
        <v>95.2</v>
      </c>
      <c r="E25" s="51">
        <v>124.4</v>
      </c>
      <c r="F25" s="51">
        <v>135</v>
      </c>
    </row>
    <row r="26" spans="2:6" x14ac:dyDescent="0.3">
      <c r="B26" s="45" t="s">
        <v>415</v>
      </c>
      <c r="C26" s="51">
        <v>1.9000000000000001</v>
      </c>
      <c r="D26" s="51">
        <v>0.8</v>
      </c>
      <c r="E26" s="51">
        <v>0.8</v>
      </c>
      <c r="F26" s="48" t="s">
        <v>355</v>
      </c>
    </row>
    <row r="27" spans="2:6" x14ac:dyDescent="0.3">
      <c r="B27" s="45" t="s">
        <v>352</v>
      </c>
      <c r="C27" s="51">
        <v>3539.2000000000003</v>
      </c>
      <c r="D27" s="51">
        <v>4732.3</v>
      </c>
      <c r="E27" s="51">
        <v>5030.9000000000005</v>
      </c>
      <c r="F27" s="51">
        <v>5004</v>
      </c>
    </row>
    <row r="28" spans="2:6" x14ac:dyDescent="0.3">
      <c r="B28" s="45" t="s">
        <v>353</v>
      </c>
      <c r="C28" s="51">
        <v>4144.1000000000004</v>
      </c>
      <c r="D28" s="51">
        <v>5440.3</v>
      </c>
      <c r="E28" s="51">
        <v>5955.2</v>
      </c>
      <c r="F28" s="51">
        <v>5983.5</v>
      </c>
    </row>
    <row r="29" spans="2:6" x14ac:dyDescent="0.3">
      <c r="B29" s="45" t="s">
        <v>354</v>
      </c>
      <c r="C29" s="51">
        <v>540.20000000000005</v>
      </c>
      <c r="D29" s="51">
        <v>641.9</v>
      </c>
      <c r="E29" s="51">
        <v>730.6</v>
      </c>
      <c r="F29" s="51">
        <v>778.80000000000007</v>
      </c>
    </row>
    <row r="30" spans="2:6" x14ac:dyDescent="0.3">
      <c r="B30" s="45" t="s">
        <v>356</v>
      </c>
      <c r="C30" s="51">
        <v>-382.6</v>
      </c>
      <c r="D30" s="51">
        <v>-442.7</v>
      </c>
      <c r="E30" s="51">
        <v>-501.40000000000003</v>
      </c>
      <c r="F30" s="51">
        <v>-542.79999999999995</v>
      </c>
    </row>
    <row r="31" spans="2:6" x14ac:dyDescent="0.3">
      <c r="B31" s="44" t="s">
        <v>357</v>
      </c>
      <c r="C31" s="63">
        <v>157.6</v>
      </c>
      <c r="D31" s="63">
        <v>199.20000000000002</v>
      </c>
      <c r="E31" s="63">
        <v>229.20000000000002</v>
      </c>
      <c r="F31" s="63">
        <v>236</v>
      </c>
    </row>
    <row r="32" spans="2:6" x14ac:dyDescent="0.3">
      <c r="B32" s="45" t="s">
        <v>358</v>
      </c>
      <c r="C32" s="51">
        <v>2323.6</v>
      </c>
      <c r="D32" s="51">
        <v>2280</v>
      </c>
      <c r="E32" s="51">
        <v>2293.9</v>
      </c>
      <c r="F32" s="51">
        <v>2336.7000000000003</v>
      </c>
    </row>
    <row r="33" spans="2:6" x14ac:dyDescent="0.3">
      <c r="B33" s="45" t="s">
        <v>359</v>
      </c>
      <c r="C33" s="51">
        <v>332.5</v>
      </c>
      <c r="D33" s="51">
        <v>281.60000000000002</v>
      </c>
      <c r="E33" s="51">
        <v>230.20000000000002</v>
      </c>
      <c r="F33" s="51">
        <v>189.20000000000002</v>
      </c>
    </row>
    <row r="34" spans="2:6" x14ac:dyDescent="0.3">
      <c r="B34" s="45" t="s">
        <v>360</v>
      </c>
      <c r="C34" s="51">
        <v>144.5</v>
      </c>
      <c r="D34" s="51">
        <v>151.20000000000002</v>
      </c>
      <c r="E34" s="51">
        <v>192.1</v>
      </c>
      <c r="F34" s="51">
        <v>231.8</v>
      </c>
    </row>
    <row r="35" spans="2:6" x14ac:dyDescent="0.3">
      <c r="B35" s="45" t="s">
        <v>361</v>
      </c>
      <c r="C35" s="51">
        <v>63.9</v>
      </c>
      <c r="D35" s="51">
        <v>111.2</v>
      </c>
      <c r="E35" s="51">
        <v>110.3</v>
      </c>
      <c r="F35" s="51">
        <v>139.80000000000001</v>
      </c>
    </row>
    <row r="36" spans="2:6" x14ac:dyDescent="0.3">
      <c r="B36" s="45" t="s">
        <v>362</v>
      </c>
      <c r="C36" s="51">
        <v>7166.2</v>
      </c>
      <c r="D36" s="51">
        <v>8463.5</v>
      </c>
      <c r="E36" s="51">
        <v>9010.9</v>
      </c>
      <c r="F36" s="51">
        <v>9117</v>
      </c>
    </row>
    <row r="37" spans="2:6" x14ac:dyDescent="0.3">
      <c r="B37" s="44" t="s">
        <v>363</v>
      </c>
      <c r="C37" s="48"/>
      <c r="D37" s="48"/>
      <c r="E37" s="48"/>
      <c r="F37" s="48"/>
    </row>
    <row r="38" spans="2:6" x14ac:dyDescent="0.3">
      <c r="B38" s="45" t="s">
        <v>156</v>
      </c>
      <c r="C38" s="51">
        <v>51.7</v>
      </c>
      <c r="D38" s="51">
        <v>54.300000000000004</v>
      </c>
      <c r="E38" s="51">
        <v>66.7</v>
      </c>
      <c r="F38" s="51">
        <v>77</v>
      </c>
    </row>
    <row r="39" spans="2:6" x14ac:dyDescent="0.3">
      <c r="B39" s="45" t="s">
        <v>364</v>
      </c>
      <c r="C39" s="51">
        <v>102</v>
      </c>
      <c r="D39" s="51">
        <v>121.4</v>
      </c>
      <c r="E39" s="51">
        <v>114.7</v>
      </c>
      <c r="F39" s="51">
        <v>158.30000000000001</v>
      </c>
    </row>
    <row r="40" spans="2:6" x14ac:dyDescent="0.3">
      <c r="B40" s="45" t="s">
        <v>365</v>
      </c>
      <c r="C40" s="51">
        <v>6.8</v>
      </c>
      <c r="D40" s="51">
        <v>6.8</v>
      </c>
      <c r="E40" s="51">
        <v>6.8</v>
      </c>
      <c r="F40" s="51">
        <v>6.5</v>
      </c>
    </row>
    <row r="41" spans="2:6" x14ac:dyDescent="0.3">
      <c r="B41" s="45" t="s">
        <v>366</v>
      </c>
      <c r="C41" s="51">
        <v>12.8</v>
      </c>
      <c r="D41" s="51">
        <v>11</v>
      </c>
      <c r="E41" s="51">
        <v>7.8</v>
      </c>
      <c r="F41" s="51">
        <v>6.5</v>
      </c>
    </row>
    <row r="42" spans="2:6" x14ac:dyDescent="0.3">
      <c r="B42" s="45" t="s">
        <v>367</v>
      </c>
      <c r="C42" s="51">
        <v>48.7</v>
      </c>
      <c r="D42" s="51">
        <v>41.2</v>
      </c>
      <c r="E42" s="51">
        <v>40.200000000000003</v>
      </c>
      <c r="F42" s="51">
        <v>42.300000000000004</v>
      </c>
    </row>
    <row r="43" spans="2:6" x14ac:dyDescent="0.3">
      <c r="B43" s="45" t="s">
        <v>368</v>
      </c>
      <c r="C43" s="51">
        <v>3519.9</v>
      </c>
      <c r="D43" s="51">
        <v>4845.1000000000004</v>
      </c>
      <c r="E43" s="51">
        <v>5098.7</v>
      </c>
      <c r="F43" s="51">
        <v>5024.2</v>
      </c>
    </row>
    <row r="44" spans="2:6" x14ac:dyDescent="0.3">
      <c r="B44" s="45" t="s">
        <v>369</v>
      </c>
      <c r="C44" s="51">
        <v>3741.9</v>
      </c>
      <c r="D44" s="51">
        <v>5079.8</v>
      </c>
      <c r="E44" s="51">
        <v>5334.9000000000005</v>
      </c>
      <c r="F44" s="51">
        <v>5314.8</v>
      </c>
    </row>
    <row r="45" spans="2:6" x14ac:dyDescent="0.3">
      <c r="B45" s="45" t="s">
        <v>370</v>
      </c>
      <c r="C45" s="51">
        <v>1116.3</v>
      </c>
      <c r="D45" s="51">
        <v>1206</v>
      </c>
      <c r="E45" s="51">
        <v>1203.6000000000001</v>
      </c>
      <c r="F45" s="51">
        <v>1203.4000000000001</v>
      </c>
    </row>
    <row r="46" spans="2:6" x14ac:dyDescent="0.3">
      <c r="B46" s="45" t="s">
        <v>371</v>
      </c>
      <c r="C46" s="51">
        <v>40.800000000000004</v>
      </c>
      <c r="D46" s="51">
        <v>31.1</v>
      </c>
      <c r="E46" s="51">
        <v>25.400000000000002</v>
      </c>
      <c r="F46" s="51">
        <v>16.5</v>
      </c>
    </row>
    <row r="47" spans="2:6" x14ac:dyDescent="0.3">
      <c r="B47" s="45" t="s">
        <v>372</v>
      </c>
      <c r="C47" s="51">
        <v>20.7</v>
      </c>
      <c r="D47" s="51">
        <v>17.7</v>
      </c>
      <c r="E47" s="51">
        <v>27.7</v>
      </c>
      <c r="F47" s="51">
        <v>5.9</v>
      </c>
    </row>
    <row r="48" spans="2:6" x14ac:dyDescent="0.3">
      <c r="B48" s="45" t="s">
        <v>373</v>
      </c>
      <c r="C48" s="51">
        <v>19</v>
      </c>
      <c r="D48" s="51">
        <v>19.5</v>
      </c>
      <c r="E48" s="51">
        <v>21.1</v>
      </c>
      <c r="F48" s="51">
        <v>30.1</v>
      </c>
    </row>
    <row r="49" spans="2:6" x14ac:dyDescent="0.3">
      <c r="B49" s="45" t="s">
        <v>374</v>
      </c>
      <c r="C49" s="51">
        <v>4938.7</v>
      </c>
      <c r="D49" s="51">
        <v>6354.1</v>
      </c>
      <c r="E49" s="51">
        <v>6612.7</v>
      </c>
      <c r="F49" s="51">
        <v>6570.7</v>
      </c>
    </row>
    <row r="50" spans="2:6" x14ac:dyDescent="0.3">
      <c r="B50" s="44" t="s">
        <v>375</v>
      </c>
      <c r="C50" s="48"/>
      <c r="D50" s="48"/>
      <c r="E50" s="48"/>
      <c r="F50" s="48"/>
    </row>
    <row r="51" spans="2:6" x14ac:dyDescent="0.3">
      <c r="B51" s="45" t="s">
        <v>376</v>
      </c>
      <c r="C51" s="51">
        <v>1.5</v>
      </c>
      <c r="D51" s="51">
        <v>1.5</v>
      </c>
      <c r="E51" s="51">
        <v>1.6</v>
      </c>
      <c r="F51" s="51">
        <v>1.6</v>
      </c>
    </row>
    <row r="52" spans="2:6" x14ac:dyDescent="0.3">
      <c r="B52" s="45" t="s">
        <v>377</v>
      </c>
      <c r="C52" s="51">
        <v>2860</v>
      </c>
      <c r="D52" s="51">
        <v>2965.5</v>
      </c>
      <c r="E52" s="51">
        <v>3151.1</v>
      </c>
      <c r="F52" s="51">
        <v>3363.2000000000003</v>
      </c>
    </row>
    <row r="53" spans="2:6" x14ac:dyDescent="0.3">
      <c r="B53" s="45" t="s">
        <v>315</v>
      </c>
      <c r="C53" s="51">
        <v>-309.2</v>
      </c>
      <c r="D53" s="51">
        <v>-372.6</v>
      </c>
      <c r="E53" s="51">
        <v>-317.8</v>
      </c>
      <c r="F53" s="51">
        <v>-335.8</v>
      </c>
    </row>
    <row r="54" spans="2:6" x14ac:dyDescent="0.3">
      <c r="B54" s="45" t="s">
        <v>378</v>
      </c>
      <c r="C54" s="51">
        <v>-324.8</v>
      </c>
      <c r="D54" s="51">
        <v>-485</v>
      </c>
      <c r="E54" s="51">
        <v>-436.7</v>
      </c>
      <c r="F54" s="51">
        <v>-482.7</v>
      </c>
    </row>
    <row r="55" spans="2:6" x14ac:dyDescent="0.3">
      <c r="B55" s="45" t="s">
        <v>379</v>
      </c>
      <c r="C55" s="51">
        <v>2227.5</v>
      </c>
      <c r="D55" s="51">
        <v>2109.4</v>
      </c>
      <c r="E55" s="51">
        <v>2398.2000000000003</v>
      </c>
      <c r="F55" s="51">
        <v>2546.3000000000002</v>
      </c>
    </row>
    <row r="56" spans="2:6" x14ac:dyDescent="0.3">
      <c r="B56" s="45" t="s">
        <v>380</v>
      </c>
      <c r="C56" s="51">
        <v>2227.5</v>
      </c>
      <c r="D56" s="51">
        <v>2109.4</v>
      </c>
      <c r="E56" s="51">
        <v>2398.2000000000003</v>
      </c>
      <c r="F56" s="51">
        <v>2546.3000000000002</v>
      </c>
    </row>
    <row r="57" spans="2:6" x14ac:dyDescent="0.3">
      <c r="B57" s="45" t="s">
        <v>381</v>
      </c>
      <c r="C57" s="51">
        <v>7166.2</v>
      </c>
      <c r="D57" s="51">
        <v>8463.5</v>
      </c>
      <c r="E57" s="51">
        <v>9010.9</v>
      </c>
      <c r="F57" s="51">
        <v>9117</v>
      </c>
    </row>
    <row r="58" spans="2:6" x14ac:dyDescent="0.3">
      <c r="B58" s="44" t="s">
        <v>382</v>
      </c>
      <c r="C58" s="48"/>
      <c r="D58" s="48"/>
      <c r="E58" s="48"/>
      <c r="F58" s="48"/>
    </row>
    <row r="59" spans="2:6" x14ac:dyDescent="0.3">
      <c r="B59" s="45" t="s">
        <v>383</v>
      </c>
      <c r="C59" s="51">
        <v>152049674</v>
      </c>
      <c r="D59" s="51">
        <v>154106560</v>
      </c>
      <c r="E59" s="51">
        <v>156600000</v>
      </c>
      <c r="F59" s="51">
        <v>158921563</v>
      </c>
    </row>
    <row r="60" spans="2:6" x14ac:dyDescent="0.3">
      <c r="B60" s="45" t="s">
        <v>384</v>
      </c>
      <c r="C60" s="51">
        <v>151995031</v>
      </c>
      <c r="D60" s="51">
        <v>153856645</v>
      </c>
      <c r="E60" s="51">
        <v>156300000</v>
      </c>
      <c r="F60" s="51">
        <v>159000000</v>
      </c>
    </row>
    <row r="61" spans="2:6" x14ac:dyDescent="0.3">
      <c r="B61" s="45" t="s">
        <v>385</v>
      </c>
      <c r="C61" s="52">
        <v>14.654999999999999</v>
      </c>
      <c r="D61" s="52">
        <v>13.71</v>
      </c>
      <c r="E61" s="52">
        <v>15.343999999999999</v>
      </c>
      <c r="F61" s="52">
        <v>16.013999999999999</v>
      </c>
    </row>
    <row r="62" spans="2:6" x14ac:dyDescent="0.3">
      <c r="B62" s="45" t="s">
        <v>386</v>
      </c>
      <c r="C62" s="51">
        <v>-428.6</v>
      </c>
      <c r="D62" s="51">
        <v>-452.2</v>
      </c>
      <c r="E62" s="51">
        <v>-125.9</v>
      </c>
      <c r="F62" s="51">
        <v>20.400000000000002</v>
      </c>
    </row>
    <row r="63" spans="2:6" x14ac:dyDescent="0.3">
      <c r="B63" s="45" t="s">
        <v>387</v>
      </c>
      <c r="C63" s="52">
        <v>-2.82</v>
      </c>
      <c r="D63" s="52">
        <v>-2.9390000000000001</v>
      </c>
      <c r="E63" s="52">
        <v>-0.80600000000000005</v>
      </c>
      <c r="F63" s="52">
        <v>0.128</v>
      </c>
    </row>
    <row r="64" spans="2:6" x14ac:dyDescent="0.3">
      <c r="B64" s="45" t="s">
        <v>49</v>
      </c>
      <c r="C64" s="51">
        <v>1176.7</v>
      </c>
      <c r="D64" s="51">
        <v>1254.9000000000001</v>
      </c>
      <c r="E64" s="51">
        <v>1243.6000000000001</v>
      </c>
      <c r="F64" s="51">
        <v>1232.9000000000001</v>
      </c>
    </row>
    <row r="65" spans="2:6" x14ac:dyDescent="0.3">
      <c r="B65" s="45" t="s">
        <v>22</v>
      </c>
      <c r="C65" s="51">
        <v>809.2</v>
      </c>
      <c r="D65" s="51">
        <v>823</v>
      </c>
      <c r="E65" s="51">
        <v>673.30000000000007</v>
      </c>
      <c r="F65" s="51">
        <v>653.20000000000005</v>
      </c>
    </row>
    <row r="66" spans="2:6" x14ac:dyDescent="0.3">
      <c r="B66" s="45" t="s">
        <v>388</v>
      </c>
      <c r="C66" s="51">
        <v>-1.6</v>
      </c>
      <c r="D66" s="51">
        <v>11.1</v>
      </c>
      <c r="E66" s="51">
        <v>21.5</v>
      </c>
      <c r="F66" s="51">
        <v>24.5</v>
      </c>
    </row>
    <row r="67" spans="2:6" x14ac:dyDescent="0.3">
      <c r="B67" s="45" t="s">
        <v>418</v>
      </c>
      <c r="C67" s="51">
        <v>31.2</v>
      </c>
      <c r="D67" s="51">
        <v>74.400000000000006</v>
      </c>
      <c r="E67" s="51">
        <v>67.2</v>
      </c>
      <c r="F67" s="51">
        <v>52</v>
      </c>
    </row>
    <row r="68" spans="2:6" x14ac:dyDescent="0.3">
      <c r="B68" s="45" t="s">
        <v>389</v>
      </c>
      <c r="C68" s="51">
        <v>31.900000000000002</v>
      </c>
      <c r="D68" s="51">
        <v>41.800000000000004</v>
      </c>
      <c r="E68" s="51">
        <v>44.9</v>
      </c>
      <c r="F68" s="51">
        <v>44.7</v>
      </c>
    </row>
    <row r="69" spans="2:6" x14ac:dyDescent="0.3">
      <c r="B69" s="45" t="s">
        <v>390</v>
      </c>
      <c r="C69" s="51">
        <v>121.7</v>
      </c>
      <c r="D69" s="51">
        <v>126.4</v>
      </c>
      <c r="E69" s="51">
        <v>130</v>
      </c>
      <c r="F69" s="51">
        <v>102.8</v>
      </c>
    </row>
    <row r="70" spans="2:6" x14ac:dyDescent="0.3">
      <c r="B70" s="45" t="s">
        <v>391</v>
      </c>
      <c r="C70" s="51">
        <v>7462</v>
      </c>
      <c r="D70" s="51">
        <v>8526</v>
      </c>
      <c r="E70" s="51">
        <v>9084</v>
      </c>
      <c r="F70" s="51">
        <v>9600</v>
      </c>
    </row>
    <row r="71" spans="2:6" x14ac:dyDescent="0.3">
      <c r="B71" s="45" t="s">
        <v>392</v>
      </c>
      <c r="C71" s="51">
        <v>3.9</v>
      </c>
      <c r="D71" s="51">
        <v>4.6000000000000005</v>
      </c>
      <c r="E71" s="51">
        <v>8.4</v>
      </c>
      <c r="F71" s="51">
        <v>13.5</v>
      </c>
    </row>
    <row r="72" spans="2:6" x14ac:dyDescent="0.3">
      <c r="B72" s="45" t="s">
        <v>393</v>
      </c>
      <c r="C72" s="48" t="s">
        <v>355</v>
      </c>
      <c r="D72" s="48" t="s">
        <v>355</v>
      </c>
      <c r="E72" s="48" t="s">
        <v>355</v>
      </c>
      <c r="F72" s="51">
        <v>1260</v>
      </c>
    </row>
    <row r="73" spans="2:6" x14ac:dyDescent="0.3">
      <c r="B73" s="45" t="s">
        <v>394</v>
      </c>
      <c r="C73" s="48" t="s">
        <v>420</v>
      </c>
      <c r="D73" s="48" t="s">
        <v>421</v>
      </c>
      <c r="E73" s="48" t="s">
        <v>420</v>
      </c>
      <c r="F73" s="48" t="s">
        <v>395</v>
      </c>
    </row>
    <row r="74" spans="2:6" x14ac:dyDescent="0.3">
      <c r="B74" s="45" t="s">
        <v>396</v>
      </c>
      <c r="C74" s="48" t="s">
        <v>422</v>
      </c>
      <c r="D74" s="48" t="s">
        <v>422</v>
      </c>
      <c r="E74" s="48" t="s">
        <v>397</v>
      </c>
      <c r="F74" s="48" t="s">
        <v>397</v>
      </c>
    </row>
    <row r="75" spans="2:6" x14ac:dyDescent="0.3">
      <c r="B75" s="44" t="s">
        <v>533</v>
      </c>
      <c r="C75" s="48"/>
      <c r="D75" s="48"/>
      <c r="E75" s="48"/>
      <c r="F75" s="48"/>
    </row>
    <row r="76" spans="2:6" x14ac:dyDescent="0.3">
      <c r="B76" s="45" t="s">
        <v>424</v>
      </c>
      <c r="C76" s="51">
        <v>0.6</v>
      </c>
      <c r="D76" s="51">
        <v>0.3</v>
      </c>
      <c r="E76" s="51">
        <v>5</v>
      </c>
      <c r="F76" s="51">
        <v>6.3</v>
      </c>
    </row>
    <row r="77" spans="2:6" x14ac:dyDescent="0.3">
      <c r="B77" s="45" t="s">
        <v>425</v>
      </c>
      <c r="C77" s="51">
        <v>0.6</v>
      </c>
      <c r="D77" s="51">
        <v>0.3</v>
      </c>
      <c r="E77" s="51">
        <v>5</v>
      </c>
      <c r="F77" s="51">
        <v>6.3</v>
      </c>
    </row>
    <row r="78" spans="2:6" x14ac:dyDescent="0.3">
      <c r="B78" s="44" t="s">
        <v>534</v>
      </c>
      <c r="C78" s="48"/>
      <c r="D78" s="48"/>
      <c r="E78" s="48"/>
      <c r="F78" s="48"/>
    </row>
    <row r="79" spans="2:6" x14ac:dyDescent="0.3">
      <c r="B79" s="45" t="s">
        <v>427</v>
      </c>
      <c r="C79" s="48" t="s">
        <v>355</v>
      </c>
      <c r="D79" s="48" t="s">
        <v>355</v>
      </c>
      <c r="E79" s="48" t="s">
        <v>355</v>
      </c>
      <c r="F79" s="51">
        <v>1</v>
      </c>
    </row>
    <row r="80" spans="2:6" x14ac:dyDescent="0.3">
      <c r="B80" s="45" t="s">
        <v>428</v>
      </c>
      <c r="C80" s="48" t="s">
        <v>355</v>
      </c>
      <c r="D80" s="48" t="s">
        <v>355</v>
      </c>
      <c r="E80" s="51">
        <v>1</v>
      </c>
      <c r="F80" s="51">
        <v>1</v>
      </c>
    </row>
    <row r="81" spans="2:6" x14ac:dyDescent="0.3">
      <c r="B81" s="45" t="s">
        <v>429</v>
      </c>
      <c r="C81" s="48" t="s">
        <v>355</v>
      </c>
      <c r="D81" s="48" t="s">
        <v>355</v>
      </c>
      <c r="E81" s="48" t="s">
        <v>355</v>
      </c>
      <c r="F81" s="51">
        <v>0.70000000000000007</v>
      </c>
    </row>
    <row r="82" spans="2:6" x14ac:dyDescent="0.3">
      <c r="B82" s="45" t="s">
        <v>430</v>
      </c>
      <c r="C82" s="48" t="s">
        <v>355</v>
      </c>
      <c r="D82" s="48" t="s">
        <v>355</v>
      </c>
      <c r="E82" s="51">
        <v>1</v>
      </c>
      <c r="F82" s="51">
        <v>2.7</v>
      </c>
    </row>
    <row r="83" spans="2:6" x14ac:dyDescent="0.3">
      <c r="B83" s="44" t="s">
        <v>398</v>
      </c>
      <c r="C83" s="48"/>
      <c r="D83" s="48"/>
      <c r="E83" s="48"/>
      <c r="F83" s="48"/>
    </row>
    <row r="84" spans="2:6" x14ac:dyDescent="0.3">
      <c r="B84" s="45" t="s">
        <v>399</v>
      </c>
      <c r="C84" s="51">
        <v>1952.4</v>
      </c>
      <c r="D84" s="51">
        <v>2011</v>
      </c>
      <c r="E84" s="51">
        <v>2178.3000000000002</v>
      </c>
      <c r="F84" s="51">
        <v>2327.3000000000002</v>
      </c>
    </row>
    <row r="85" spans="2:6" x14ac:dyDescent="0.3">
      <c r="B85" s="45" t="s">
        <v>400</v>
      </c>
      <c r="C85" s="51">
        <v>1952.4</v>
      </c>
      <c r="D85" s="51">
        <v>2011</v>
      </c>
      <c r="E85" s="51">
        <v>2178.3000000000002</v>
      </c>
      <c r="F85" s="51">
        <v>2327.3000000000002</v>
      </c>
    </row>
    <row r="86" spans="2:6" x14ac:dyDescent="0.3">
      <c r="B86" s="45" t="s">
        <v>401</v>
      </c>
      <c r="C86" s="51">
        <v>1248.9000000000001</v>
      </c>
      <c r="D86" s="51">
        <v>1140</v>
      </c>
      <c r="E86" s="51">
        <v>1160</v>
      </c>
      <c r="F86" s="51">
        <v>1200</v>
      </c>
    </row>
    <row r="87" spans="2:6" x14ac:dyDescent="0.3">
      <c r="B87" s="45" t="s">
        <v>432</v>
      </c>
      <c r="C87" s="51">
        <v>6</v>
      </c>
      <c r="D87" s="51">
        <v>10.6</v>
      </c>
      <c r="E87" s="51">
        <v>14.9</v>
      </c>
      <c r="F87" s="48" t="s">
        <v>355</v>
      </c>
    </row>
    <row r="88" spans="2:6" x14ac:dyDescent="0.3">
      <c r="B88" s="45" t="s">
        <v>402</v>
      </c>
      <c r="C88" s="51">
        <v>1254.9000000000001</v>
      </c>
      <c r="D88" s="51">
        <v>1150.6000000000001</v>
      </c>
      <c r="E88" s="51">
        <v>1174.9000000000001</v>
      </c>
      <c r="F88" s="51">
        <v>1200</v>
      </c>
    </row>
    <row r="89" spans="2:6" x14ac:dyDescent="0.3">
      <c r="B89" s="45" t="s">
        <v>403</v>
      </c>
      <c r="C89" s="51">
        <v>-0.6</v>
      </c>
      <c r="D89" s="51">
        <v>-4.6000000000000005</v>
      </c>
      <c r="E89" s="51">
        <v>-4.3</v>
      </c>
      <c r="F89" s="51">
        <v>-9</v>
      </c>
    </row>
    <row r="90" spans="2:6" x14ac:dyDescent="0.3">
      <c r="B90" s="46"/>
    </row>
  </sheetData>
  <mergeCells count="3">
    <mergeCell ref="B1:E1"/>
    <mergeCell ref="B12:F12"/>
    <mergeCell ref="B2:M2"/>
  </mergeCells>
  <pageMargins left="0.7" right="0.7" top="0.75" bottom="0.75" header="0.3" footer="0.3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9358E-7FE4-4FB4-9B99-5A23F7320529}">
  <sheetPr codeName="Sheet9"/>
  <dimension ref="B1:M100"/>
  <sheetViews>
    <sheetView showGridLines="0" workbookViewId="0">
      <selection activeCell="B2" sqref="B2:M2"/>
    </sheetView>
  </sheetViews>
  <sheetFormatPr defaultRowHeight="14.4" x14ac:dyDescent="0.3"/>
  <cols>
    <col min="1" max="1" width="4.77734375" customWidth="1"/>
    <col min="2" max="2" width="48.33203125" customWidth="1"/>
    <col min="3" max="6" width="16.109375" customWidth="1"/>
  </cols>
  <sheetData>
    <row r="1" spans="2:13" ht="40.200000000000003" customHeight="1" x14ac:dyDescent="0.3">
      <c r="B1" s="455"/>
      <c r="C1" s="455"/>
      <c r="D1" s="455"/>
      <c r="E1" s="455"/>
    </row>
    <row r="2" spans="2:13" ht="30" customHeight="1" x14ac:dyDescent="0.35">
      <c r="B2" s="457" t="s">
        <v>535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2:13" x14ac:dyDescent="0.3">
      <c r="B3" s="45" t="s">
        <v>327</v>
      </c>
    </row>
    <row r="5" spans="2:13" x14ac:dyDescent="0.3">
      <c r="B5" s="45" t="s">
        <v>328</v>
      </c>
      <c r="C5" s="46"/>
    </row>
    <row r="6" spans="2:13" x14ac:dyDescent="0.3">
      <c r="B6" s="45" t="s">
        <v>329</v>
      </c>
      <c r="C6" s="46"/>
    </row>
    <row r="7" spans="2:13" x14ac:dyDescent="0.3">
      <c r="B7" s="45" t="s">
        <v>404</v>
      </c>
      <c r="C7" s="46"/>
    </row>
    <row r="8" spans="2:13" x14ac:dyDescent="0.3">
      <c r="B8" s="45" t="s">
        <v>331</v>
      </c>
      <c r="C8" s="46"/>
    </row>
    <row r="9" spans="2:13" x14ac:dyDescent="0.3">
      <c r="B9" s="45" t="s">
        <v>332</v>
      </c>
      <c r="C9" s="46"/>
    </row>
    <row r="10" spans="2:13" x14ac:dyDescent="0.3">
      <c r="B10" s="45" t="s">
        <v>333</v>
      </c>
      <c r="C10" s="46"/>
    </row>
    <row r="11" spans="2:13" x14ac:dyDescent="0.3">
      <c r="B11" s="45" t="s">
        <v>334</v>
      </c>
      <c r="C11" s="46"/>
    </row>
    <row r="12" spans="2:13" x14ac:dyDescent="0.3">
      <c r="B12" s="456"/>
      <c r="C12" s="456"/>
      <c r="D12" s="456"/>
      <c r="E12" s="456"/>
      <c r="F12" s="456"/>
    </row>
    <row r="13" spans="2:13" x14ac:dyDescent="0.3">
      <c r="B13" s="47" t="s">
        <v>335</v>
      </c>
      <c r="C13" s="62" t="s">
        <v>408</v>
      </c>
      <c r="D13" s="62" t="s">
        <v>409</v>
      </c>
      <c r="E13" s="62" t="s">
        <v>410</v>
      </c>
      <c r="F13" s="62" t="s">
        <v>411</v>
      </c>
    </row>
    <row r="14" spans="2:13" x14ac:dyDescent="0.3">
      <c r="B14" s="45" t="s">
        <v>340</v>
      </c>
      <c r="C14" s="48" t="s">
        <v>341</v>
      </c>
      <c r="D14" s="48" t="s">
        <v>341</v>
      </c>
      <c r="E14" s="48" t="s">
        <v>341</v>
      </c>
      <c r="F14" s="48" t="s">
        <v>341</v>
      </c>
    </row>
    <row r="15" spans="2:13" x14ac:dyDescent="0.3">
      <c r="B15" s="45" t="s">
        <v>342</v>
      </c>
      <c r="C15" s="49">
        <v>44561</v>
      </c>
      <c r="D15" s="49">
        <v>44926</v>
      </c>
      <c r="E15" s="49">
        <v>45291</v>
      </c>
      <c r="F15" s="49">
        <v>45657</v>
      </c>
    </row>
    <row r="16" spans="2:13" x14ac:dyDescent="0.3">
      <c r="B16" s="45" t="s">
        <v>343</v>
      </c>
      <c r="C16" s="49">
        <v>45350</v>
      </c>
      <c r="D16" s="49">
        <v>45716</v>
      </c>
      <c r="E16" s="49">
        <v>45716</v>
      </c>
      <c r="F16" s="49">
        <v>45716</v>
      </c>
    </row>
    <row r="17" spans="2:6" x14ac:dyDescent="0.3">
      <c r="B17" s="45" t="s">
        <v>344</v>
      </c>
      <c r="C17" s="48" t="s">
        <v>345</v>
      </c>
      <c r="D17" s="48" t="s">
        <v>345</v>
      </c>
      <c r="E17" s="48" t="s">
        <v>345</v>
      </c>
      <c r="F17" s="48" t="s">
        <v>345</v>
      </c>
    </row>
    <row r="18" spans="2:6" x14ac:dyDescent="0.3">
      <c r="B18" s="45" t="s">
        <v>340</v>
      </c>
      <c r="C18" s="48"/>
      <c r="D18" s="48"/>
      <c r="E18" s="48"/>
      <c r="F18" s="48"/>
    </row>
    <row r="19" spans="2:6" x14ac:dyDescent="0.3">
      <c r="B19" s="44" t="s">
        <v>536</v>
      </c>
      <c r="C19" s="48"/>
      <c r="D19" s="48"/>
      <c r="E19" s="48"/>
      <c r="F19" s="48"/>
    </row>
    <row r="20" spans="2:6" x14ac:dyDescent="0.3">
      <c r="B20" s="45" t="s">
        <v>34</v>
      </c>
      <c r="C20" s="51">
        <v>1024.2</v>
      </c>
      <c r="D20" s="51">
        <v>1246.2</v>
      </c>
      <c r="E20" s="51">
        <v>1513.7</v>
      </c>
      <c r="F20" s="51">
        <v>1760</v>
      </c>
    </row>
    <row r="21" spans="2:6" x14ac:dyDescent="0.3">
      <c r="B21" s="45" t="s">
        <v>537</v>
      </c>
      <c r="C21" s="51">
        <v>1024.2</v>
      </c>
      <c r="D21" s="51">
        <v>1246.2</v>
      </c>
      <c r="E21" s="51">
        <v>1513.7</v>
      </c>
      <c r="F21" s="51">
        <v>1760</v>
      </c>
    </row>
    <row r="22" spans="2:6" x14ac:dyDescent="0.3">
      <c r="B22" s="45" t="s">
        <v>538</v>
      </c>
      <c r="C22" s="51">
        <v>591</v>
      </c>
      <c r="D22" s="51">
        <v>718</v>
      </c>
      <c r="E22" s="51">
        <v>800.4</v>
      </c>
      <c r="F22" s="51">
        <v>867.5</v>
      </c>
    </row>
    <row r="23" spans="2:6" x14ac:dyDescent="0.3">
      <c r="B23" s="45" t="s">
        <v>539</v>
      </c>
      <c r="C23" s="51">
        <v>433.2</v>
      </c>
      <c r="D23" s="51">
        <v>528.20000000000005</v>
      </c>
      <c r="E23" s="51">
        <v>713.30000000000007</v>
      </c>
      <c r="F23" s="51">
        <v>892.5</v>
      </c>
    </row>
    <row r="24" spans="2:6" x14ac:dyDescent="0.3">
      <c r="B24" s="45" t="s">
        <v>340</v>
      </c>
      <c r="C24" s="48"/>
      <c r="D24" s="48"/>
      <c r="E24" s="48"/>
      <c r="F24" s="48"/>
    </row>
    <row r="25" spans="2:6" x14ac:dyDescent="0.3">
      <c r="B25" s="45" t="s">
        <v>540</v>
      </c>
      <c r="C25" s="51">
        <v>447.8</v>
      </c>
      <c r="D25" s="51">
        <v>505.5</v>
      </c>
      <c r="E25" s="51">
        <v>512.1</v>
      </c>
      <c r="F25" s="51">
        <v>710.9</v>
      </c>
    </row>
    <row r="26" spans="2:6" x14ac:dyDescent="0.3">
      <c r="B26" s="45" t="s">
        <v>494</v>
      </c>
      <c r="C26" s="51">
        <v>50.9</v>
      </c>
      <c r="D26" s="51">
        <v>55</v>
      </c>
      <c r="E26" s="51">
        <v>66.8</v>
      </c>
      <c r="F26" s="51">
        <v>80.400000000000006</v>
      </c>
    </row>
    <row r="27" spans="2:6" x14ac:dyDescent="0.3">
      <c r="B27" s="45" t="s">
        <v>541</v>
      </c>
      <c r="C27" s="51">
        <v>498.7</v>
      </c>
      <c r="D27" s="51">
        <v>560.5</v>
      </c>
      <c r="E27" s="51">
        <v>578.9</v>
      </c>
      <c r="F27" s="51">
        <v>791.30000000000007</v>
      </c>
    </row>
    <row r="28" spans="2:6" x14ac:dyDescent="0.3">
      <c r="B28" s="45" t="s">
        <v>542</v>
      </c>
      <c r="C28" s="51">
        <v>-65.5</v>
      </c>
      <c r="D28" s="51">
        <v>-32.299999999999997</v>
      </c>
      <c r="E28" s="51">
        <v>134.4</v>
      </c>
      <c r="F28" s="51">
        <v>101.2</v>
      </c>
    </row>
    <row r="29" spans="2:6" x14ac:dyDescent="0.3">
      <c r="B29" s="45" t="s">
        <v>340</v>
      </c>
      <c r="C29" s="48"/>
      <c r="D29" s="48"/>
      <c r="E29" s="48"/>
      <c r="F29" s="48"/>
    </row>
    <row r="30" spans="2:6" x14ac:dyDescent="0.3">
      <c r="B30" s="45" t="s">
        <v>266</v>
      </c>
      <c r="C30" s="51">
        <v>-35.9</v>
      </c>
      <c r="D30" s="51">
        <v>-28.6</v>
      </c>
      <c r="E30" s="51">
        <v>-36.1</v>
      </c>
      <c r="F30" s="51">
        <v>-40.6</v>
      </c>
    </row>
    <row r="31" spans="2:6" x14ac:dyDescent="0.3">
      <c r="B31" s="45" t="s">
        <v>543</v>
      </c>
      <c r="C31" s="51">
        <v>-35.9</v>
      </c>
      <c r="D31" s="51">
        <v>-28.6</v>
      </c>
      <c r="E31" s="51">
        <v>-36.1</v>
      </c>
      <c r="F31" s="51">
        <v>-40.6</v>
      </c>
    </row>
    <row r="32" spans="2:6" x14ac:dyDescent="0.3">
      <c r="B32" s="45" t="s">
        <v>544</v>
      </c>
      <c r="C32" s="51">
        <v>-8</v>
      </c>
      <c r="D32" s="51">
        <v>-2</v>
      </c>
      <c r="E32" s="51">
        <v>2</v>
      </c>
      <c r="F32" s="51">
        <v>-14</v>
      </c>
    </row>
    <row r="33" spans="2:6" x14ac:dyDescent="0.3">
      <c r="B33" s="45" t="s">
        <v>545</v>
      </c>
      <c r="C33" s="51">
        <v>-109.4</v>
      </c>
      <c r="D33" s="51">
        <v>-62.9</v>
      </c>
      <c r="E33" s="51">
        <v>100.3</v>
      </c>
      <c r="F33" s="51">
        <v>46.6</v>
      </c>
    </row>
    <row r="34" spans="2:6" x14ac:dyDescent="0.3">
      <c r="B34" s="45" t="s">
        <v>546</v>
      </c>
      <c r="C34" s="51">
        <v>19.100000000000001</v>
      </c>
      <c r="D34" s="48" t="s">
        <v>355</v>
      </c>
      <c r="E34" s="48" t="s">
        <v>355</v>
      </c>
      <c r="F34" s="48" t="s">
        <v>355</v>
      </c>
    </row>
    <row r="35" spans="2:6" x14ac:dyDescent="0.3">
      <c r="B35" s="45" t="s">
        <v>547</v>
      </c>
      <c r="C35" s="48" t="s">
        <v>355</v>
      </c>
      <c r="D35" s="48" t="s">
        <v>355</v>
      </c>
      <c r="E35" s="51">
        <v>-4.3</v>
      </c>
      <c r="F35" s="51">
        <v>-9</v>
      </c>
    </row>
    <row r="36" spans="2:6" x14ac:dyDescent="0.3">
      <c r="B36" s="45" t="s">
        <v>548</v>
      </c>
      <c r="C36" s="51">
        <v>-90.3</v>
      </c>
      <c r="D36" s="51">
        <v>-62.9</v>
      </c>
      <c r="E36" s="51">
        <v>96</v>
      </c>
      <c r="F36" s="51">
        <v>37.6</v>
      </c>
    </row>
    <row r="37" spans="2:6" x14ac:dyDescent="0.3">
      <c r="B37" s="45" t="s">
        <v>340</v>
      </c>
      <c r="C37" s="48"/>
      <c r="D37" s="48"/>
      <c r="E37" s="48"/>
      <c r="F37" s="48"/>
    </row>
    <row r="38" spans="2:6" x14ac:dyDescent="0.3">
      <c r="B38" s="45" t="s">
        <v>215</v>
      </c>
      <c r="C38" s="51">
        <v>-14.9</v>
      </c>
      <c r="D38" s="51">
        <v>10.5</v>
      </c>
      <c r="E38" s="51">
        <v>41.2</v>
      </c>
      <c r="F38" s="51">
        <v>19.5</v>
      </c>
    </row>
    <row r="39" spans="2:6" x14ac:dyDescent="0.3">
      <c r="B39" s="45" t="s">
        <v>549</v>
      </c>
      <c r="C39" s="51">
        <v>-75.400000000000006</v>
      </c>
      <c r="D39" s="51">
        <v>-73.400000000000006</v>
      </c>
      <c r="E39" s="51">
        <v>54.800000000000004</v>
      </c>
      <c r="F39" s="51">
        <v>18.100000000000001</v>
      </c>
    </row>
    <row r="40" spans="2:6" x14ac:dyDescent="0.3">
      <c r="B40" s="45" t="s">
        <v>550</v>
      </c>
      <c r="C40" s="51">
        <v>-75.400000000000006</v>
      </c>
      <c r="D40" s="51">
        <v>-73.400000000000006</v>
      </c>
      <c r="E40" s="51">
        <v>54.800000000000004</v>
      </c>
      <c r="F40" s="51">
        <v>18.100000000000001</v>
      </c>
    </row>
    <row r="41" spans="2:6" x14ac:dyDescent="0.3">
      <c r="B41" s="45" t="s">
        <v>551</v>
      </c>
      <c r="C41" s="51">
        <v>-75.400000000000006</v>
      </c>
      <c r="D41" s="51">
        <v>-73.400000000000006</v>
      </c>
      <c r="E41" s="51">
        <v>54.800000000000004</v>
      </c>
      <c r="F41" s="51">
        <v>18.100000000000001</v>
      </c>
    </row>
    <row r="42" spans="2:6" x14ac:dyDescent="0.3">
      <c r="B42" s="45" t="s">
        <v>552</v>
      </c>
      <c r="C42" s="51">
        <v>-75.400000000000006</v>
      </c>
      <c r="D42" s="51">
        <v>-73.400000000000006</v>
      </c>
      <c r="E42" s="51">
        <v>54.800000000000004</v>
      </c>
      <c r="F42" s="51">
        <v>18.100000000000001</v>
      </c>
    </row>
    <row r="43" spans="2:6" x14ac:dyDescent="0.3">
      <c r="B43" s="45" t="s">
        <v>553</v>
      </c>
      <c r="C43" s="51">
        <v>-75.400000000000006</v>
      </c>
      <c r="D43" s="51">
        <v>-73.400000000000006</v>
      </c>
      <c r="E43" s="51">
        <v>54.800000000000004</v>
      </c>
      <c r="F43" s="51">
        <v>18.100000000000001</v>
      </c>
    </row>
    <row r="44" spans="2:6" x14ac:dyDescent="0.3">
      <c r="B44" s="44" t="s">
        <v>554</v>
      </c>
      <c r="C44" s="48"/>
      <c r="D44" s="48"/>
      <c r="E44" s="48"/>
      <c r="F44" s="48"/>
    </row>
    <row r="45" spans="2:6" x14ac:dyDescent="0.3">
      <c r="B45" s="45" t="s">
        <v>486</v>
      </c>
      <c r="C45" s="52">
        <v>-0.501</v>
      </c>
      <c r="D45" s="52">
        <v>-0.48</v>
      </c>
      <c r="E45" s="52">
        <v>0.35299999999999998</v>
      </c>
      <c r="F45" s="52">
        <v>0.115</v>
      </c>
    </row>
    <row r="46" spans="2:6" x14ac:dyDescent="0.3">
      <c r="B46" s="45" t="s">
        <v>485</v>
      </c>
      <c r="C46" s="52">
        <v>-0.501</v>
      </c>
      <c r="D46" s="52">
        <v>-0.48</v>
      </c>
      <c r="E46" s="52">
        <v>0.35299999999999998</v>
      </c>
      <c r="F46" s="52">
        <v>0.115</v>
      </c>
    </row>
    <row r="47" spans="2:6" x14ac:dyDescent="0.3">
      <c r="B47" s="45" t="s">
        <v>489</v>
      </c>
      <c r="C47" s="51">
        <v>150400000</v>
      </c>
      <c r="D47" s="51">
        <v>152900000</v>
      </c>
      <c r="E47" s="51">
        <v>155300000</v>
      </c>
      <c r="F47" s="51">
        <v>157800000</v>
      </c>
    </row>
    <row r="48" spans="2:6" x14ac:dyDescent="0.3">
      <c r="B48" s="45" t="s">
        <v>488</v>
      </c>
      <c r="C48" s="52">
        <v>-0.501</v>
      </c>
      <c r="D48" s="52">
        <v>-0.48</v>
      </c>
      <c r="E48" s="52">
        <v>0.35</v>
      </c>
      <c r="F48" s="52">
        <v>0.11</v>
      </c>
    </row>
    <row r="49" spans="2:6" x14ac:dyDescent="0.3">
      <c r="B49" s="45" t="s">
        <v>487</v>
      </c>
      <c r="C49" s="52">
        <v>-0.501</v>
      </c>
      <c r="D49" s="52">
        <v>-0.48</v>
      </c>
      <c r="E49" s="52">
        <v>0.35</v>
      </c>
      <c r="F49" s="52">
        <v>0.11</v>
      </c>
    </row>
    <row r="50" spans="2:6" x14ac:dyDescent="0.3">
      <c r="B50" s="45" t="s">
        <v>490</v>
      </c>
      <c r="C50" s="51">
        <v>150400000</v>
      </c>
      <c r="D50" s="51">
        <v>152900000</v>
      </c>
      <c r="E50" s="51">
        <v>158500000</v>
      </c>
      <c r="F50" s="51">
        <v>160400000</v>
      </c>
    </row>
    <row r="51" spans="2:6" x14ac:dyDescent="0.3">
      <c r="B51" s="45" t="s">
        <v>555</v>
      </c>
      <c r="C51" s="52">
        <v>-0.45500000000000002</v>
      </c>
      <c r="D51" s="52">
        <v>-0.25700000000000001</v>
      </c>
      <c r="E51" s="52">
        <v>0.40400000000000003</v>
      </c>
      <c r="F51" s="52">
        <v>0.185</v>
      </c>
    </row>
    <row r="52" spans="2:6" x14ac:dyDescent="0.3">
      <c r="B52" s="45" t="s">
        <v>556</v>
      </c>
      <c r="C52" s="52">
        <v>-0.45500000000000002</v>
      </c>
      <c r="D52" s="52">
        <v>-0.25700000000000001</v>
      </c>
      <c r="E52" s="52">
        <v>0.39600000000000002</v>
      </c>
      <c r="F52" s="52">
        <v>0.182</v>
      </c>
    </row>
    <row r="53" spans="2:6" x14ac:dyDescent="0.3">
      <c r="B53" s="44" t="s">
        <v>529</v>
      </c>
      <c r="C53" s="48"/>
      <c r="D53" s="48"/>
      <c r="E53" s="48"/>
      <c r="F53" s="48"/>
    </row>
    <row r="54" spans="2:6" x14ac:dyDescent="0.3">
      <c r="B54" s="45" t="s">
        <v>14</v>
      </c>
      <c r="C54" s="51">
        <v>-25</v>
      </c>
      <c r="D54" s="51">
        <v>13.200000000000001</v>
      </c>
      <c r="E54" s="51">
        <v>212.9</v>
      </c>
      <c r="F54" s="51">
        <v>240.3</v>
      </c>
    </row>
    <row r="55" spans="2:6" x14ac:dyDescent="0.3">
      <c r="B55" s="45" t="s">
        <v>557</v>
      </c>
      <c r="C55" s="51">
        <v>-41.6</v>
      </c>
      <c r="D55" s="51">
        <v>-1.4000000000000001</v>
      </c>
      <c r="E55" s="51">
        <v>194.9</v>
      </c>
      <c r="F55" s="51">
        <v>221.20000000000002</v>
      </c>
    </row>
    <row r="56" spans="2:6" x14ac:dyDescent="0.3">
      <c r="B56" s="45" t="s">
        <v>35</v>
      </c>
      <c r="C56" s="51">
        <v>-65.5</v>
      </c>
      <c r="D56" s="51">
        <v>-32.299999999999997</v>
      </c>
      <c r="E56" s="51">
        <v>134.4</v>
      </c>
      <c r="F56" s="51">
        <v>101.2</v>
      </c>
    </row>
    <row r="57" spans="2:6" x14ac:dyDescent="0.3">
      <c r="B57" s="45" t="s">
        <v>558</v>
      </c>
      <c r="C57" s="51">
        <v>-21.1</v>
      </c>
      <c r="D57" s="51">
        <v>22.5</v>
      </c>
      <c r="E57" s="51">
        <v>221.3</v>
      </c>
      <c r="F57" s="51">
        <v>246.8</v>
      </c>
    </row>
    <row r="58" spans="2:6" x14ac:dyDescent="0.3">
      <c r="B58" s="45" t="s">
        <v>559</v>
      </c>
      <c r="C58" s="51">
        <v>1024.2</v>
      </c>
      <c r="D58" s="51">
        <v>1246.2</v>
      </c>
      <c r="E58" s="51">
        <v>1513.7</v>
      </c>
      <c r="F58" s="51">
        <v>1760</v>
      </c>
    </row>
    <row r="59" spans="2:6" x14ac:dyDescent="0.3">
      <c r="B59" s="45" t="s">
        <v>560</v>
      </c>
      <c r="C59" s="52">
        <v>16.501000000000001</v>
      </c>
      <c r="D59" s="48" t="s">
        <v>460</v>
      </c>
      <c r="E59" s="52">
        <v>42.917000000000002</v>
      </c>
      <c r="F59" s="52">
        <v>51.862000000000002</v>
      </c>
    </row>
    <row r="60" spans="2:6" x14ac:dyDescent="0.3">
      <c r="B60" s="45" t="s">
        <v>561</v>
      </c>
      <c r="C60" s="51">
        <v>1.3</v>
      </c>
      <c r="D60" s="51">
        <v>6.4</v>
      </c>
      <c r="E60" s="51">
        <v>11.4</v>
      </c>
      <c r="F60" s="51">
        <v>36.9</v>
      </c>
    </row>
    <row r="61" spans="2:6" x14ac:dyDescent="0.3">
      <c r="B61" s="45" t="s">
        <v>562</v>
      </c>
      <c r="C61" s="51">
        <v>22.3</v>
      </c>
      <c r="D61" s="51">
        <v>5.8</v>
      </c>
      <c r="E61" s="51">
        <v>25.7</v>
      </c>
      <c r="F61" s="51">
        <v>16.7</v>
      </c>
    </row>
    <row r="62" spans="2:6" x14ac:dyDescent="0.3">
      <c r="B62" s="45" t="s">
        <v>563</v>
      </c>
      <c r="C62" s="51">
        <v>23.6</v>
      </c>
      <c r="D62" s="51">
        <v>12.200000000000001</v>
      </c>
      <c r="E62" s="51">
        <v>37.1</v>
      </c>
      <c r="F62" s="51">
        <v>53.6</v>
      </c>
    </row>
    <row r="63" spans="2:6" x14ac:dyDescent="0.3">
      <c r="B63" s="45" t="s">
        <v>564</v>
      </c>
      <c r="C63" s="51">
        <v>-27.3</v>
      </c>
      <c r="D63" s="51">
        <v>5.7</v>
      </c>
      <c r="E63" s="51">
        <v>7.7</v>
      </c>
      <c r="F63" s="51">
        <v>-17.7</v>
      </c>
    </row>
    <row r="64" spans="2:6" x14ac:dyDescent="0.3">
      <c r="B64" s="45" t="s">
        <v>565</v>
      </c>
      <c r="C64" s="51">
        <v>-11.200000000000001</v>
      </c>
      <c r="D64" s="51">
        <v>-7.4</v>
      </c>
      <c r="E64" s="51">
        <v>-3.6</v>
      </c>
      <c r="F64" s="51">
        <v>-16.399999999999999</v>
      </c>
    </row>
    <row r="65" spans="2:6" x14ac:dyDescent="0.3">
      <c r="B65" s="45" t="s">
        <v>566</v>
      </c>
      <c r="C65" s="51">
        <v>-38.5</v>
      </c>
      <c r="D65" s="51">
        <v>-1.7</v>
      </c>
      <c r="E65" s="51">
        <v>4.0999999999999996</v>
      </c>
      <c r="F65" s="51">
        <v>-34.1</v>
      </c>
    </row>
    <row r="66" spans="2:6" x14ac:dyDescent="0.3">
      <c r="B66" s="45" t="s">
        <v>567</v>
      </c>
      <c r="C66" s="51">
        <v>-68.375</v>
      </c>
      <c r="D66" s="51">
        <v>-39.3125</v>
      </c>
      <c r="E66" s="51">
        <v>62.6875</v>
      </c>
      <c r="F66" s="51">
        <v>29.125</v>
      </c>
    </row>
    <row r="67" spans="2:6" x14ac:dyDescent="0.3">
      <c r="B67" s="45" t="s">
        <v>568</v>
      </c>
      <c r="C67" s="51">
        <v>17.2</v>
      </c>
      <c r="D67" s="51">
        <v>5.7</v>
      </c>
      <c r="E67" s="51">
        <v>5.3</v>
      </c>
      <c r="F67" s="51">
        <v>4.8</v>
      </c>
    </row>
    <row r="68" spans="2:6" x14ac:dyDescent="0.3">
      <c r="B68" s="45" t="s">
        <v>569</v>
      </c>
      <c r="C68" s="51">
        <v>10.9</v>
      </c>
      <c r="D68" s="51">
        <v>6.5</v>
      </c>
      <c r="E68" s="51">
        <v>3</v>
      </c>
      <c r="F68" s="51">
        <v>11.9</v>
      </c>
    </row>
    <row r="69" spans="2:6" x14ac:dyDescent="0.3">
      <c r="B69" s="44" t="s">
        <v>570</v>
      </c>
      <c r="C69" s="48"/>
      <c r="D69" s="48"/>
      <c r="E69" s="48"/>
      <c r="F69" s="48"/>
    </row>
    <row r="70" spans="2:6" x14ac:dyDescent="0.3">
      <c r="B70" s="45" t="s">
        <v>571</v>
      </c>
      <c r="C70" s="51">
        <v>7.5</v>
      </c>
      <c r="D70" s="51">
        <v>11.3</v>
      </c>
      <c r="E70" s="51">
        <v>14.200000000000001</v>
      </c>
      <c r="F70" s="51">
        <v>28.1</v>
      </c>
    </row>
    <row r="71" spans="2:6" x14ac:dyDescent="0.3">
      <c r="B71" s="45" t="s">
        <v>572</v>
      </c>
      <c r="C71" s="51">
        <v>218.5</v>
      </c>
      <c r="D71" s="51">
        <v>251.5</v>
      </c>
      <c r="E71" s="51">
        <v>250.20000000000002</v>
      </c>
      <c r="F71" s="51">
        <v>342</v>
      </c>
    </row>
    <row r="72" spans="2:6" x14ac:dyDescent="0.3">
      <c r="B72" s="45" t="s">
        <v>573</v>
      </c>
      <c r="C72" s="51">
        <v>218.4</v>
      </c>
      <c r="D72" s="51">
        <v>247.5</v>
      </c>
      <c r="E72" s="51">
        <v>258.89999999999998</v>
      </c>
      <c r="F72" s="51">
        <v>357</v>
      </c>
    </row>
    <row r="73" spans="2:6" x14ac:dyDescent="0.3">
      <c r="B73" s="45" t="s">
        <v>574</v>
      </c>
      <c r="C73" s="51">
        <v>118.10000000000001</v>
      </c>
      <c r="D73" s="51">
        <v>135.80000000000001</v>
      </c>
      <c r="E73" s="51">
        <v>166</v>
      </c>
      <c r="F73" s="51">
        <v>193.70000000000002</v>
      </c>
    </row>
    <row r="74" spans="2:6" x14ac:dyDescent="0.3">
      <c r="B74" s="45" t="s">
        <v>575</v>
      </c>
      <c r="C74" s="51">
        <v>3.9</v>
      </c>
      <c r="D74" s="51">
        <v>9.3000000000000007</v>
      </c>
      <c r="E74" s="51">
        <v>8.4</v>
      </c>
      <c r="F74" s="51">
        <v>6.5</v>
      </c>
    </row>
    <row r="75" spans="2:6" x14ac:dyDescent="0.3">
      <c r="B75" s="45" t="s">
        <v>576</v>
      </c>
      <c r="C75" s="51">
        <v>1.1861300000000001</v>
      </c>
      <c r="D75" s="51">
        <v>1.7501110000000002</v>
      </c>
      <c r="E75" s="51">
        <v>1.9795100000000001</v>
      </c>
      <c r="F75" s="51">
        <v>1.788956</v>
      </c>
    </row>
    <row r="76" spans="2:6" x14ac:dyDescent="0.3">
      <c r="B76" s="45" t="s">
        <v>577</v>
      </c>
      <c r="C76" s="51">
        <v>2.71387</v>
      </c>
      <c r="D76" s="51">
        <v>7.5498890000000003</v>
      </c>
      <c r="E76" s="51">
        <v>6.42049</v>
      </c>
      <c r="F76" s="51">
        <v>4.7110440000000002</v>
      </c>
    </row>
    <row r="77" spans="2:6" x14ac:dyDescent="0.3">
      <c r="B77" s="45" t="s">
        <v>578</v>
      </c>
      <c r="C77" s="48" t="s">
        <v>355</v>
      </c>
      <c r="D77" s="48" t="s">
        <v>355</v>
      </c>
      <c r="E77" s="51">
        <v>15.4</v>
      </c>
      <c r="F77" s="51">
        <v>11.3</v>
      </c>
    </row>
    <row r="78" spans="2:6" x14ac:dyDescent="0.3">
      <c r="B78" s="45" t="s">
        <v>579</v>
      </c>
      <c r="C78" s="51">
        <v>113.4</v>
      </c>
      <c r="D78" s="51">
        <v>144.80000000000001</v>
      </c>
      <c r="E78" s="51">
        <v>121.3</v>
      </c>
      <c r="F78" s="51">
        <v>144.20000000000002</v>
      </c>
    </row>
    <row r="79" spans="2:6" x14ac:dyDescent="0.3">
      <c r="B79" s="44" t="s">
        <v>580</v>
      </c>
      <c r="C79" s="63">
        <v>113.4</v>
      </c>
      <c r="D79" s="63">
        <v>144.80000000000001</v>
      </c>
      <c r="E79" s="63">
        <v>136.70000000000002</v>
      </c>
      <c r="F79" s="63">
        <v>155.5</v>
      </c>
    </row>
    <row r="80" spans="2:6" x14ac:dyDescent="0.3">
      <c r="B80" s="45" t="s">
        <v>394</v>
      </c>
      <c r="C80" s="48" t="s">
        <v>581</v>
      </c>
      <c r="D80" s="48" t="s">
        <v>581</v>
      </c>
      <c r="E80" s="48" t="s">
        <v>420</v>
      </c>
      <c r="F80" s="48" t="s">
        <v>395</v>
      </c>
    </row>
    <row r="81" spans="2:6" x14ac:dyDescent="0.3">
      <c r="B81" s="45" t="s">
        <v>396</v>
      </c>
      <c r="C81" s="48" t="s">
        <v>397</v>
      </c>
      <c r="D81" s="48" t="s">
        <v>397</v>
      </c>
      <c r="E81" s="48" t="s">
        <v>397</v>
      </c>
      <c r="F81" s="48" t="s">
        <v>397</v>
      </c>
    </row>
    <row r="82" spans="2:6" x14ac:dyDescent="0.3">
      <c r="B82" s="44" t="s">
        <v>582</v>
      </c>
      <c r="C82" s="48"/>
      <c r="D82" s="48"/>
      <c r="E82" s="48"/>
      <c r="F82" s="48"/>
    </row>
    <row r="83" spans="2:6" x14ac:dyDescent="0.3">
      <c r="B83" s="45" t="s">
        <v>583</v>
      </c>
      <c r="C83" s="51">
        <v>10983074</v>
      </c>
      <c r="D83" s="48" t="s">
        <v>355</v>
      </c>
      <c r="E83" s="48" t="s">
        <v>355</v>
      </c>
      <c r="F83" s="51">
        <v>6213998</v>
      </c>
    </row>
    <row r="84" spans="2:6" x14ac:dyDescent="0.3">
      <c r="B84" s="45" t="s">
        <v>584</v>
      </c>
      <c r="C84" s="51">
        <v>759126</v>
      </c>
      <c r="D84" s="48" t="s">
        <v>355</v>
      </c>
      <c r="E84" s="48" t="s">
        <v>355</v>
      </c>
      <c r="F84" s="48" t="s">
        <v>355</v>
      </c>
    </row>
    <row r="85" spans="2:6" x14ac:dyDescent="0.3">
      <c r="B85" s="45" t="s">
        <v>585</v>
      </c>
      <c r="C85" s="51">
        <v>2942465</v>
      </c>
      <c r="D85" s="48" t="s">
        <v>355</v>
      </c>
      <c r="E85" s="48" t="s">
        <v>355</v>
      </c>
      <c r="F85" s="51">
        <v>1570253</v>
      </c>
    </row>
    <row r="86" spans="2:6" x14ac:dyDescent="0.3">
      <c r="B86" s="45" t="s">
        <v>586</v>
      </c>
      <c r="C86" s="51">
        <v>283866</v>
      </c>
      <c r="D86" s="48" t="s">
        <v>355</v>
      </c>
      <c r="E86" s="48" t="s">
        <v>355</v>
      </c>
      <c r="F86" s="51">
        <v>166100</v>
      </c>
    </row>
    <row r="87" spans="2:6" x14ac:dyDescent="0.3">
      <c r="B87" s="45" t="s">
        <v>587</v>
      </c>
      <c r="C87" s="51">
        <v>8515869</v>
      </c>
      <c r="D87" s="48" t="s">
        <v>355</v>
      </c>
      <c r="E87" s="48" t="s">
        <v>355</v>
      </c>
      <c r="F87" s="51">
        <v>4477645</v>
      </c>
    </row>
    <row r="88" spans="2:6" x14ac:dyDescent="0.3">
      <c r="B88" s="45" t="s">
        <v>588</v>
      </c>
      <c r="C88" s="52">
        <v>48.87</v>
      </c>
      <c r="D88" s="48" t="s">
        <v>355</v>
      </c>
      <c r="E88" s="48" t="s">
        <v>355</v>
      </c>
      <c r="F88" s="52">
        <v>56.53</v>
      </c>
    </row>
    <row r="89" spans="2:6" x14ac:dyDescent="0.3">
      <c r="B89" s="45" t="s">
        <v>589</v>
      </c>
      <c r="C89" s="52">
        <v>84.07</v>
      </c>
      <c r="D89" s="48" t="s">
        <v>355</v>
      </c>
      <c r="E89" s="48" t="s">
        <v>355</v>
      </c>
      <c r="F89" s="48" t="s">
        <v>355</v>
      </c>
    </row>
    <row r="90" spans="2:6" x14ac:dyDescent="0.3">
      <c r="B90" s="44" t="s">
        <v>590</v>
      </c>
      <c r="C90" s="48"/>
      <c r="D90" s="48"/>
      <c r="E90" s="48"/>
      <c r="F90" s="48"/>
    </row>
    <row r="91" spans="2:6" x14ac:dyDescent="0.3">
      <c r="B91" s="45" t="s">
        <v>591</v>
      </c>
      <c r="C91" s="51">
        <v>10983074</v>
      </c>
      <c r="D91" s="48" t="s">
        <v>355</v>
      </c>
      <c r="E91" s="48" t="s">
        <v>355</v>
      </c>
      <c r="F91" s="51">
        <v>6213998</v>
      </c>
    </row>
    <row r="92" spans="2:6" x14ac:dyDescent="0.3">
      <c r="B92" s="45" t="s">
        <v>592</v>
      </c>
      <c r="C92" s="51">
        <v>759126</v>
      </c>
      <c r="D92" s="48" t="s">
        <v>355</v>
      </c>
      <c r="E92" s="48" t="s">
        <v>355</v>
      </c>
      <c r="F92" s="48" t="s">
        <v>355</v>
      </c>
    </row>
    <row r="93" spans="2:6" x14ac:dyDescent="0.3">
      <c r="B93" s="45" t="s">
        <v>593</v>
      </c>
      <c r="C93" s="51">
        <v>2942465</v>
      </c>
      <c r="D93" s="48" t="s">
        <v>355</v>
      </c>
      <c r="E93" s="48" t="s">
        <v>355</v>
      </c>
      <c r="F93" s="51">
        <v>1570253</v>
      </c>
    </row>
    <row r="94" spans="2:6" x14ac:dyDescent="0.3">
      <c r="B94" s="45" t="s">
        <v>594</v>
      </c>
      <c r="C94" s="51">
        <v>283866</v>
      </c>
      <c r="D94" s="48" t="s">
        <v>355</v>
      </c>
      <c r="E94" s="48" t="s">
        <v>355</v>
      </c>
      <c r="F94" s="51">
        <v>166100</v>
      </c>
    </row>
    <row r="95" spans="2:6" x14ac:dyDescent="0.3">
      <c r="B95" s="45" t="s">
        <v>595</v>
      </c>
      <c r="C95" s="51">
        <v>8515869</v>
      </c>
      <c r="D95" s="48" t="s">
        <v>355</v>
      </c>
      <c r="E95" s="48" t="s">
        <v>355</v>
      </c>
      <c r="F95" s="51">
        <v>4477645</v>
      </c>
    </row>
    <row r="96" spans="2:6" x14ac:dyDescent="0.3">
      <c r="B96" s="44" t="s">
        <v>596</v>
      </c>
      <c r="C96" s="48"/>
      <c r="D96" s="48"/>
      <c r="E96" s="48"/>
      <c r="F96" s="48"/>
    </row>
    <row r="97" spans="2:6" x14ac:dyDescent="0.3">
      <c r="B97" s="45" t="s">
        <v>597</v>
      </c>
      <c r="C97" s="51">
        <v>113.4</v>
      </c>
      <c r="D97" s="51">
        <v>144.80000000000001</v>
      </c>
      <c r="E97" s="51">
        <v>136.70000000000002</v>
      </c>
      <c r="F97" s="51">
        <v>155.5</v>
      </c>
    </row>
    <row r="98" spans="2:6" x14ac:dyDescent="0.3">
      <c r="B98" s="44" t="s">
        <v>598</v>
      </c>
      <c r="C98" s="48"/>
      <c r="D98" s="48"/>
      <c r="E98" s="48"/>
      <c r="F98" s="48"/>
    </row>
    <row r="99" spans="2:6" x14ac:dyDescent="0.3">
      <c r="B99" s="45" t="s">
        <v>599</v>
      </c>
      <c r="C99" s="48" t="s">
        <v>355</v>
      </c>
      <c r="D99" s="48" t="s">
        <v>355</v>
      </c>
      <c r="E99" s="51">
        <v>0.70000000000000007</v>
      </c>
      <c r="F99" s="51">
        <v>2</v>
      </c>
    </row>
    <row r="100" spans="2:6" x14ac:dyDescent="0.3">
      <c r="B100" s="46"/>
    </row>
  </sheetData>
  <mergeCells count="3">
    <mergeCell ref="B1:E1"/>
    <mergeCell ref="B12:F12"/>
    <mergeCell ref="B2:M2"/>
  </mergeCells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EE311-AA34-452E-AC6E-C22C59A67C03}">
  <dimension ref="B2:AA107"/>
  <sheetViews>
    <sheetView showGridLines="0" zoomScale="60" zoomScaleNormal="60" workbookViewId="0">
      <selection activeCell="B2" sqref="B2"/>
    </sheetView>
  </sheetViews>
  <sheetFormatPr defaultRowHeight="14.4" x14ac:dyDescent="0.3"/>
  <cols>
    <col min="1" max="1" width="4.6640625" customWidth="1"/>
    <col min="4" max="6" width="10.6640625" customWidth="1"/>
    <col min="9" max="9" width="45.88671875" bestFit="1" customWidth="1"/>
    <col min="34" max="34" width="25.109375" bestFit="1" customWidth="1"/>
  </cols>
  <sheetData>
    <row r="2" spans="2:20" ht="18" x14ac:dyDescent="0.35">
      <c r="B2" s="1" t="s">
        <v>0</v>
      </c>
      <c r="C2" s="2"/>
      <c r="D2" s="2"/>
      <c r="E2" s="2"/>
      <c r="I2" s="1" t="s">
        <v>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4" spans="2:20" x14ac:dyDescent="0.3">
      <c r="B4" s="3" t="s">
        <v>2</v>
      </c>
    </row>
    <row r="6" spans="2:20" x14ac:dyDescent="0.3">
      <c r="B6" s="4" t="s">
        <v>3</v>
      </c>
      <c r="C6" s="5"/>
      <c r="D6" s="5"/>
      <c r="E6" s="5"/>
      <c r="I6" s="4" t="s">
        <v>4</v>
      </c>
      <c r="J6" s="5"/>
      <c r="K6" s="5"/>
      <c r="L6" s="5"/>
      <c r="M6" s="4" t="s">
        <v>5</v>
      </c>
      <c r="N6" s="4" t="s">
        <v>6</v>
      </c>
      <c r="P6" s="4" t="s">
        <v>7</v>
      </c>
      <c r="Q6" s="5"/>
      <c r="R6" s="5"/>
      <c r="S6" s="5"/>
    </row>
    <row r="7" spans="2:20" x14ac:dyDescent="0.3">
      <c r="B7" t="s">
        <v>8</v>
      </c>
      <c r="E7" s="228">
        <f>'Transaction Details'!C8</f>
        <v>19.041886824695325</v>
      </c>
      <c r="I7" s="6" t="s">
        <v>9</v>
      </c>
      <c r="M7" s="228">
        <f>'Transaction Details'!H8</f>
        <v>0.80353555644837282</v>
      </c>
      <c r="N7" s="26">
        <f>'Transaction Details'!G8</f>
        <v>500</v>
      </c>
      <c r="P7" s="6" t="s">
        <v>10</v>
      </c>
      <c r="S7" s="26">
        <f>'Transaction Details'!O8</f>
        <v>11202.447409999999</v>
      </c>
    </row>
    <row r="8" spans="2:20" x14ac:dyDescent="0.3">
      <c r="B8" t="s">
        <v>11</v>
      </c>
      <c r="E8" s="228">
        <f>'Transaction Details'!C9</f>
        <v>15</v>
      </c>
      <c r="I8" s="6" t="s">
        <v>12</v>
      </c>
      <c r="M8" s="228">
        <f>'Transaction Details'!H9</f>
        <v>8.8388911209321019</v>
      </c>
      <c r="N8" s="26">
        <f>'Transaction Details'!G9</f>
        <v>5500</v>
      </c>
      <c r="P8" s="6" t="s">
        <v>13</v>
      </c>
      <c r="S8" s="26">
        <f>'Transaction Details'!O9</f>
        <v>1206.5666666666668</v>
      </c>
    </row>
    <row r="9" spans="2:20" x14ac:dyDescent="0.3">
      <c r="B9" t="s">
        <v>14</v>
      </c>
      <c r="E9" s="26">
        <f>'Transaction Details'!C10</f>
        <v>622.25</v>
      </c>
      <c r="I9" s="6" t="s">
        <v>15</v>
      </c>
      <c r="M9" s="228">
        <f>'Transaction Details'!H10</f>
        <v>9.1783843081157102</v>
      </c>
      <c r="N9" s="26">
        <f>'Transaction Details'!G10</f>
        <v>5711.2496357250002</v>
      </c>
      <c r="P9" s="6" t="s">
        <v>16</v>
      </c>
      <c r="S9" s="26">
        <f>'Transaction Details'!O10</f>
        <v>436.81885191666663</v>
      </c>
    </row>
    <row r="10" spans="2:20" x14ac:dyDescent="0.3">
      <c r="E10" s="236"/>
      <c r="I10" s="6" t="s">
        <v>17</v>
      </c>
      <c r="M10" s="228">
        <f>'Transaction Details'!H11</f>
        <v>1.0198204786795229</v>
      </c>
      <c r="N10" s="26">
        <f>'Transaction Details'!G11</f>
        <v>634.58329285833315</v>
      </c>
      <c r="P10" s="33" t="s">
        <v>18</v>
      </c>
      <c r="S10" s="26">
        <f>'Transaction Details'!O11</f>
        <v>12845.832928583333</v>
      </c>
    </row>
    <row r="11" spans="2:20" x14ac:dyDescent="0.3">
      <c r="B11" s="4" t="s">
        <v>19</v>
      </c>
      <c r="C11" s="5"/>
      <c r="D11" s="5"/>
      <c r="E11" s="237"/>
      <c r="I11" s="6" t="s">
        <v>20</v>
      </c>
      <c r="M11" s="228">
        <f>'Transaction Details'!H12</f>
        <v>0.80353555644837271</v>
      </c>
      <c r="N11" s="26">
        <f>'Transaction Details'!G12</f>
        <v>499.99999999999994</v>
      </c>
    </row>
    <row r="12" spans="2:20" x14ac:dyDescent="0.3">
      <c r="B12" t="s">
        <v>10</v>
      </c>
      <c r="E12" s="26">
        <f>'Transaction Details'!C15</f>
        <v>11202.447409999999</v>
      </c>
      <c r="I12" s="33" t="s">
        <v>21</v>
      </c>
      <c r="M12" s="228">
        <f>'Transaction Details'!H13</f>
        <v>20.644167020624081</v>
      </c>
      <c r="N12" s="26">
        <f>'Transaction Details'!G13</f>
        <v>12845.832928583333</v>
      </c>
    </row>
    <row r="13" spans="2:20" x14ac:dyDescent="0.3">
      <c r="B13" t="s">
        <v>22</v>
      </c>
      <c r="E13" s="238">
        <f>'Transaction Details'!C19</f>
        <v>646.36666666666679</v>
      </c>
    </row>
    <row r="14" spans="2:20" x14ac:dyDescent="0.3">
      <c r="B14" s="458" t="s">
        <v>50</v>
      </c>
      <c r="E14" s="238">
        <f>'Transaction Details'!C16</f>
        <v>579.70000000000005</v>
      </c>
    </row>
    <row r="15" spans="2:20" x14ac:dyDescent="0.3">
      <c r="B15" t="s">
        <v>23</v>
      </c>
      <c r="E15" s="26">
        <f>'Transaction Details'!C20</f>
        <v>11848.814076666666</v>
      </c>
      <c r="N15" s="26"/>
    </row>
    <row r="16" spans="2:20" x14ac:dyDescent="0.3">
      <c r="E16" s="236"/>
      <c r="I16" s="33"/>
    </row>
    <row r="17" spans="2:20" x14ac:dyDescent="0.3">
      <c r="B17" t="s">
        <v>24</v>
      </c>
      <c r="E17" s="242">
        <f>'Transaction Details'!C22</f>
        <v>160.03496299999998</v>
      </c>
      <c r="K17" s="96" t="s">
        <v>25</v>
      </c>
      <c r="L17" s="239"/>
      <c r="M17" s="239"/>
      <c r="N17" s="240" cm="1">
        <f t="array" ref="N17">SUM(N7:N8/N12)</f>
        <v>0.46707753661106455</v>
      </c>
      <c r="O17" s="79"/>
    </row>
    <row r="18" spans="2:20" x14ac:dyDescent="0.3">
      <c r="B18" t="s">
        <v>26</v>
      </c>
      <c r="E18" s="236">
        <f>'Transaction Details'!C23</f>
        <v>70</v>
      </c>
    </row>
    <row r="19" spans="2:20" x14ac:dyDescent="0.3">
      <c r="B19" t="s">
        <v>27</v>
      </c>
      <c r="E19" s="237">
        <f>'Transaction Details'!C24</f>
        <v>52.88</v>
      </c>
    </row>
    <row r="20" spans="2:20" x14ac:dyDescent="0.3">
      <c r="B20" t="s">
        <v>28</v>
      </c>
      <c r="E20" s="243">
        <f>'Transaction Details'!C25</f>
        <v>0.32375189107413005</v>
      </c>
    </row>
    <row r="22" spans="2:20" ht="18" x14ac:dyDescent="0.35">
      <c r="B22" s="1" t="s">
        <v>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4" spans="2:20" ht="18" x14ac:dyDescent="0.35">
      <c r="B24" s="450" t="s">
        <v>29</v>
      </c>
      <c r="C24" s="450"/>
      <c r="D24" s="450"/>
      <c r="E24" s="450"/>
      <c r="H24" s="450" t="s">
        <v>30</v>
      </c>
      <c r="I24" s="451"/>
      <c r="J24" s="451"/>
      <c r="K24" s="451"/>
      <c r="N24" s="450" t="s">
        <v>31</v>
      </c>
      <c r="O24" s="450"/>
      <c r="P24" s="450"/>
      <c r="Q24" s="450"/>
      <c r="R24" s="450"/>
    </row>
    <row r="27" spans="2:20" ht="18" x14ac:dyDescent="0.35">
      <c r="C27" s="452">
        <f>SUM('Transaction Details'!G10:G12)/1000</f>
        <v>6.8458329285833335</v>
      </c>
      <c r="D27" s="452"/>
      <c r="E27" s="236"/>
      <c r="F27" s="236"/>
      <c r="G27" s="236"/>
      <c r="H27" s="236"/>
      <c r="I27" s="453">
        <f ca="1">Model!F313</f>
        <v>0.17529839873313907</v>
      </c>
      <c r="J27" s="453"/>
      <c r="K27" s="236"/>
      <c r="L27" s="236"/>
      <c r="M27" s="236"/>
      <c r="N27" s="236"/>
      <c r="O27" s="454">
        <f ca="1">Model!G313</f>
        <v>2.9793709644434681</v>
      </c>
      <c r="P27" s="454"/>
      <c r="Q27" s="454"/>
    </row>
    <row r="30" spans="2:20" ht="18" x14ac:dyDescent="0.35">
      <c r="B30" s="1" t="s">
        <v>32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3" spans="2:16" ht="15" thickBot="1" x14ac:dyDescent="0.35">
      <c r="B33" s="33" t="s">
        <v>33</v>
      </c>
      <c r="J33" s="245">
        <v>26</v>
      </c>
      <c r="K33" s="245">
        <f t="shared" ref="K33:P33" si="0">J33+1</f>
        <v>27</v>
      </c>
      <c r="L33" s="245">
        <f t="shared" si="0"/>
        <v>28</v>
      </c>
      <c r="M33" s="245">
        <f t="shared" si="0"/>
        <v>29</v>
      </c>
      <c r="N33" s="245">
        <f t="shared" si="0"/>
        <v>30</v>
      </c>
      <c r="O33" s="245">
        <f t="shared" si="0"/>
        <v>31</v>
      </c>
      <c r="P33" s="245">
        <f t="shared" si="0"/>
        <v>32</v>
      </c>
    </row>
    <row r="34" spans="2:16" x14ac:dyDescent="0.3">
      <c r="B34" t="s">
        <v>34</v>
      </c>
      <c r="J34" s="435">
        <f>Model!T55</f>
        <v>1674.6328385790591</v>
      </c>
      <c r="K34" s="435">
        <f>Model!M55</f>
        <v>2511.3004132436945</v>
      </c>
      <c r="L34" s="435">
        <f>Model!N55</f>
        <v>2808.6463751855026</v>
      </c>
      <c r="M34" s="435">
        <f>Model!O55</f>
        <v>3121.7891593875561</v>
      </c>
      <c r="N34" s="435">
        <f>Model!P55</f>
        <v>3448.4426181810036</v>
      </c>
      <c r="O34" s="435">
        <f>Model!Q55</f>
        <v>3785.8087055277388</v>
      </c>
      <c r="P34" s="435">
        <f>Model!R55</f>
        <v>4130.598438451706</v>
      </c>
    </row>
    <row r="35" spans="2:16" x14ac:dyDescent="0.3">
      <c r="B35" t="s">
        <v>14</v>
      </c>
      <c r="J35" s="435">
        <f>Model!T86</f>
        <v>567.11848095810683</v>
      </c>
      <c r="K35" s="435">
        <f>Model!M86</f>
        <v>857.52778010024065</v>
      </c>
      <c r="L35" s="435">
        <f>Model!N86</f>
        <v>968.24407025290429</v>
      </c>
      <c r="M35" s="435">
        <f>Model!O86</f>
        <v>1106.3091166429583</v>
      </c>
      <c r="N35" s="435">
        <f>Model!P86</f>
        <v>1255.6806180391152</v>
      </c>
      <c r="O35" s="435">
        <f>Model!Q86</f>
        <v>1415.8707727811936</v>
      </c>
      <c r="P35" s="435">
        <f>Model!R86</f>
        <v>1586.1101291175346</v>
      </c>
    </row>
    <row r="36" spans="2:16" x14ac:dyDescent="0.3">
      <c r="B36" t="s">
        <v>35</v>
      </c>
      <c r="J36" s="435">
        <f>Model!T75</f>
        <v>274.60246581902356</v>
      </c>
      <c r="K36" s="435">
        <f>Model!M75</f>
        <v>421.3048422467275</v>
      </c>
      <c r="L36" s="435">
        <f>Model!N75</f>
        <v>483.38781126390052</v>
      </c>
      <c r="M36" s="435">
        <f>Model!O75</f>
        <v>585.05648029749216</v>
      </c>
      <c r="N36" s="435">
        <f>Model!P75</f>
        <v>699.3953210120917</v>
      </c>
      <c r="O36" s="435">
        <f>Model!Q75</f>
        <v>826.58137711637664</v>
      </c>
      <c r="P36" s="435">
        <f>Model!R75</f>
        <v>966.52036334977856</v>
      </c>
    </row>
    <row r="37" spans="2:16" x14ac:dyDescent="0.3">
      <c r="B37" t="s">
        <v>36</v>
      </c>
      <c r="J37" s="435">
        <f ca="1">-Model!T81</f>
        <v>23.789184979978266</v>
      </c>
      <c r="K37" s="435">
        <f ca="1">-Model!M81</f>
        <v>59.215905785569191</v>
      </c>
      <c r="L37" s="435">
        <f ca="1">-Model!N81</f>
        <v>81.440974489909991</v>
      </c>
      <c r="M37" s="435">
        <f ca="1">-Model!O81</f>
        <v>113.84423149696562</v>
      </c>
      <c r="N37" s="435">
        <f ca="1">-Model!P81</f>
        <v>149.76320075200783</v>
      </c>
      <c r="O37" s="435">
        <f ca="1">-Model!Q81</f>
        <v>189.10279569124663</v>
      </c>
      <c r="P37" s="435">
        <f ca="1">-Model!R81</f>
        <v>230.80563283218223</v>
      </c>
    </row>
    <row r="38" spans="2:16" x14ac:dyDescent="0.3">
      <c r="B38" t="s">
        <v>37</v>
      </c>
      <c r="J38" s="435">
        <f>Model!T103*-1</f>
        <v>126.58758665400288</v>
      </c>
      <c r="K38" s="435">
        <f>Model!M103*-1</f>
        <v>205.57902215350964</v>
      </c>
      <c r="L38" s="435">
        <f>Model!N103*-1</f>
        <v>247.44367149614487</v>
      </c>
      <c r="M38" s="435">
        <f>Model!O103*-1</f>
        <v>255.73382310491976</v>
      </c>
      <c r="N38" s="435">
        <f>Model!P103*-1</f>
        <v>261.04912011658405</v>
      </c>
      <c r="O38" s="435">
        <f>Model!Q103*-1</f>
        <v>262.91236877683934</v>
      </c>
      <c r="P38" s="435">
        <f>Model!R103*-1</f>
        <v>260.88889161089486</v>
      </c>
    </row>
    <row r="39" spans="2:16" x14ac:dyDescent="0.3">
      <c r="B39" t="s">
        <v>38</v>
      </c>
      <c r="J39" s="95">
        <f>J38/J34</f>
        <v>7.5591248265150207E-2</v>
      </c>
      <c r="K39" s="95">
        <f t="shared" ref="K39:P39" si="1">K38/K34</f>
        <v>8.1861580983844009E-2</v>
      </c>
      <c r="L39" s="95">
        <f t="shared" si="1"/>
        <v>8.810068568343779E-2</v>
      </c>
      <c r="M39" s="95">
        <f t="shared" si="1"/>
        <v>8.1918992618672096E-2</v>
      </c>
      <c r="N39" s="95">
        <f t="shared" si="1"/>
        <v>7.5700584008639576E-2</v>
      </c>
      <c r="O39" s="95">
        <f t="shared" si="1"/>
        <v>6.9446818164096744E-2</v>
      </c>
      <c r="P39" s="95">
        <f t="shared" si="1"/>
        <v>6.3160071233815021E-2</v>
      </c>
    </row>
    <row r="40" spans="2:16" x14ac:dyDescent="0.3">
      <c r="B40" t="s">
        <v>39</v>
      </c>
      <c r="J40" s="95">
        <f>J36/J34</f>
        <v>0.16397771469238964</v>
      </c>
      <c r="K40" s="95">
        <f t="shared" ref="K40:P40" si="2">K36/K34</f>
        <v>0.1677636176161631</v>
      </c>
      <c r="L40" s="95">
        <f t="shared" si="2"/>
        <v>0.17210703901162147</v>
      </c>
      <c r="M40" s="95">
        <f t="shared" si="2"/>
        <v>0.18741063230941279</v>
      </c>
      <c r="N40" s="95">
        <f t="shared" si="2"/>
        <v>0.20281483511563</v>
      </c>
      <c r="O40" s="95">
        <f t="shared" si="2"/>
        <v>0.21833680500271127</v>
      </c>
      <c r="P40" s="95">
        <f t="shared" si="2"/>
        <v>0.2339903957626209</v>
      </c>
    </row>
    <row r="41" spans="2:16" x14ac:dyDescent="0.3">
      <c r="B41" t="s">
        <v>40</v>
      </c>
      <c r="J41" s="95">
        <f>J35/J34</f>
        <v>0.33865243048697879</v>
      </c>
      <c r="K41" s="95">
        <f t="shared" ref="K41:P41" si="3">K35/K34</f>
        <v>0.34146762194516744</v>
      </c>
      <c r="L41" s="95">
        <f t="shared" si="3"/>
        <v>0.34473690914149158</v>
      </c>
      <c r="M41" s="95">
        <f t="shared" si="3"/>
        <v>0.35438303490681544</v>
      </c>
      <c r="N41" s="95">
        <f t="shared" si="3"/>
        <v>0.36412977018056514</v>
      </c>
      <c r="O41" s="95">
        <f t="shared" si="3"/>
        <v>0.37399427253517881</v>
      </c>
      <c r="P41" s="95">
        <f t="shared" si="3"/>
        <v>0.38399039576262095</v>
      </c>
    </row>
    <row r="42" spans="2:16" x14ac:dyDescent="0.3">
      <c r="J42" s="247"/>
      <c r="K42" s="247"/>
      <c r="L42" s="247"/>
      <c r="M42" s="247"/>
      <c r="N42" s="247"/>
      <c r="O42" s="247"/>
    </row>
    <row r="43" spans="2:16" x14ac:dyDescent="0.3">
      <c r="B43" t="s">
        <v>41</v>
      </c>
      <c r="J43" s="247">
        <f>Model!T85*-1</f>
        <v>136.30943818255494</v>
      </c>
      <c r="K43" s="247">
        <f>Model!M85*-1</f>
        <v>193.46389790662261</v>
      </c>
      <c r="L43" s="247">
        <f>Model!N85*-1</f>
        <v>203.99162147045359</v>
      </c>
      <c r="M43" s="247">
        <f>Model!O85*-1</f>
        <v>212.97595685594493</v>
      </c>
      <c r="N43" s="247">
        <f>Model!P85*-1</f>
        <v>220.06214175437549</v>
      </c>
      <c r="O43" s="247">
        <f>Model!Q85*-1</f>
        <v>224.90530775777216</v>
      </c>
      <c r="P43" s="247">
        <f>Model!R85*-1</f>
        <v>227.18291411484384</v>
      </c>
    </row>
    <row r="44" spans="2:16" x14ac:dyDescent="0.3">
      <c r="B44" s="422" t="s">
        <v>42</v>
      </c>
      <c r="J44" s="95">
        <f>J43/J34</f>
        <v>8.1396611270453001E-2</v>
      </c>
      <c r="K44" s="95">
        <f t="shared" ref="K44:P44" si="4">K43/K34</f>
        <v>7.7037337662337668E-2</v>
      </c>
      <c r="L44" s="95">
        <f t="shared" si="4"/>
        <v>7.2629870129870142E-2</v>
      </c>
      <c r="M44" s="95">
        <f t="shared" si="4"/>
        <v>6.8222402597402615E-2</v>
      </c>
      <c r="N44" s="95">
        <f t="shared" si="4"/>
        <v>6.3814935064935088E-2</v>
      </c>
      <c r="O44" s="95">
        <f t="shared" si="4"/>
        <v>5.9407467532467555E-2</v>
      </c>
      <c r="P44" s="95">
        <f t="shared" si="4"/>
        <v>5.5E-2</v>
      </c>
    </row>
    <row r="45" spans="2:16" x14ac:dyDescent="0.3">
      <c r="J45" s="247"/>
      <c r="K45" s="247"/>
      <c r="L45" s="247"/>
      <c r="M45" s="247"/>
      <c r="N45" s="247"/>
      <c r="O45" s="247"/>
    </row>
    <row r="46" spans="2:16" x14ac:dyDescent="0.3">
      <c r="J46" s="247"/>
      <c r="K46" s="247"/>
      <c r="L46" s="247"/>
      <c r="M46" s="247"/>
      <c r="N46" s="247"/>
      <c r="O46" s="247"/>
    </row>
    <row r="47" spans="2:16" x14ac:dyDescent="0.3">
      <c r="B47" t="s">
        <v>43</v>
      </c>
      <c r="J47" s="247">
        <f>Model!T57</f>
        <v>1277.2469527365636</v>
      </c>
      <c r="K47" s="247">
        <f>Model!M57</f>
        <v>1920.3147158151464</v>
      </c>
      <c r="L47" s="247">
        <f>Model!N57</f>
        <v>2151.6840999664773</v>
      </c>
      <c r="M47" s="247">
        <f>Model!O57</f>
        <v>2395.6330033247755</v>
      </c>
      <c r="N47" s="247">
        <f>Model!P57</f>
        <v>2650.2448742800416</v>
      </c>
      <c r="O47" s="247">
        <f>Model!Q57</f>
        <v>2913.1564407406026</v>
      </c>
      <c r="P47" s="247">
        <f>Model!R57</f>
        <v>3181.5718489133515</v>
      </c>
    </row>
    <row r="48" spans="2:16" x14ac:dyDescent="0.3">
      <c r="B48" t="s">
        <v>44</v>
      </c>
      <c r="J48" s="247">
        <f>'Inputs and Drivers'!L30</f>
        <v>225.347905755727</v>
      </c>
      <c r="K48" s="247">
        <f>'Inputs and Drivers'!M30</f>
        <v>242.62753531418832</v>
      </c>
      <c r="L48" s="247">
        <f>'Inputs and Drivers'!N30</f>
        <v>259.93751297413138</v>
      </c>
      <c r="M48" s="247">
        <f>'Inputs and Drivers'!O30</f>
        <v>277.09543521032515</v>
      </c>
      <c r="N48" s="247">
        <f>'Inputs and Drivers'!P30</f>
        <v>293.90734591780813</v>
      </c>
      <c r="O48" s="247">
        <f>'Inputs and Drivers'!Q30</f>
        <v>310.1709903286814</v>
      </c>
      <c r="P48" s="247">
        <f>'Inputs and Drivers'!R30</f>
        <v>325.67953984511553</v>
      </c>
    </row>
    <row r="49" spans="2:27" x14ac:dyDescent="0.3">
      <c r="B49" t="s">
        <v>45</v>
      </c>
      <c r="I49" s="437" t="s">
        <v>45</v>
      </c>
      <c r="J49" s="247">
        <f>Model!L30</f>
        <v>7395.137999999999</v>
      </c>
      <c r="K49" s="247">
        <f>Model!M30</f>
        <v>7748.9229342857143</v>
      </c>
      <c r="L49" s="247">
        <f>Model!N30</f>
        <v>8108.5668941387748</v>
      </c>
      <c r="M49" s="247">
        <f>Model!O30</f>
        <v>8473.3229779281864</v>
      </c>
      <c r="N49" s="247">
        <f>Model!P30</f>
        <v>8842.3866512106142</v>
      </c>
      <c r="O49" s="247">
        <f>Model!Q30</f>
        <v>9214.8975853580177</v>
      </c>
      <c r="P49" s="247">
        <f>Model!R30</f>
        <v>9589.941982533961</v>
      </c>
      <c r="Q49" s="247"/>
    </row>
    <row r="50" spans="2:27" x14ac:dyDescent="0.3">
      <c r="B50" t="s">
        <v>46</v>
      </c>
      <c r="I50" s="437" t="s">
        <v>46</v>
      </c>
      <c r="J50" s="247">
        <f>Model!L40</f>
        <v>222.9037979154441</v>
      </c>
      <c r="K50" s="247">
        <f>Model!M40</f>
        <v>250.9910243455646</v>
      </c>
      <c r="L50" s="247">
        <f>Model!N40</f>
        <v>281.18951728239688</v>
      </c>
      <c r="M50" s="247">
        <f>Model!O40</f>
        <v>313.55407380592624</v>
      </c>
      <c r="N50" s="247">
        <f>Model!P40</f>
        <v>348.13152935957254</v>
      </c>
      <c r="O50" s="247">
        <f>Model!Q40</f>
        <v>384.95984919737759</v>
      </c>
      <c r="P50" s="247">
        <f>Model!R40</f>
        <v>424.06723446765176</v>
      </c>
      <c r="Q50" s="247"/>
    </row>
    <row r="51" spans="2:27" x14ac:dyDescent="0.3">
      <c r="J51" s="247"/>
      <c r="K51" s="247"/>
      <c r="L51" s="247"/>
      <c r="M51" s="247"/>
      <c r="N51" s="247"/>
      <c r="O51" s="247"/>
    </row>
    <row r="52" spans="2:27" x14ac:dyDescent="0.3">
      <c r="B52" t="s">
        <v>47</v>
      </c>
      <c r="J52" s="246">
        <f ca="1">Model!T78*-1</f>
        <v>229.72715989357965</v>
      </c>
      <c r="K52" s="246">
        <f ca="1">Model!M78*-1</f>
        <v>184.44121910445074</v>
      </c>
      <c r="L52" s="246">
        <f ca="1">Model!N78*-1</f>
        <v>157.62391330426053</v>
      </c>
      <c r="M52" s="246">
        <f ca="1">Model!O78*-1</f>
        <v>129.67955430962968</v>
      </c>
      <c r="N52" s="246">
        <f ca="1">Model!P78*-1</f>
        <v>100.34251800406034</v>
      </c>
      <c r="O52" s="246">
        <f ca="1">Model!Q78*-1</f>
        <v>70.170194351390165</v>
      </c>
      <c r="P52" s="246">
        <f ca="1">Model!R78*-1</f>
        <v>43.297832021049629</v>
      </c>
    </row>
    <row r="53" spans="2:27" x14ac:dyDescent="0.3">
      <c r="J53" s="11"/>
      <c r="K53" s="11"/>
      <c r="L53" s="11"/>
      <c r="M53" s="11"/>
      <c r="N53" s="11"/>
      <c r="O53" s="11"/>
    </row>
    <row r="54" spans="2:27" x14ac:dyDescent="0.3">
      <c r="B54" t="s">
        <v>48</v>
      </c>
      <c r="J54" s="12">
        <f ca="1">-IF(Model!L192&lt;0,SUM(Model!L192,Model!L220),Model!L220)</f>
        <v>912.5</v>
      </c>
      <c r="K54" s="12">
        <f ca="1">-IF(Model!M192&lt;0,SUM(Model!M192,Model!M220),Model!M220)</f>
        <v>550</v>
      </c>
      <c r="L54" s="12">
        <f ca="1">-IF(Model!N192&lt;0,SUM(Model!N192,Model!N220),Model!N220)</f>
        <v>550</v>
      </c>
      <c r="M54" s="12">
        <f ca="1">-IF(Model!O192&lt;0,SUM(Model!O192,Model!O220),Model!O220)</f>
        <v>550</v>
      </c>
      <c r="N54" s="12">
        <f ca="1">-IF(Model!P192&lt;0,SUM(Model!P192,Model!P220),Model!P220)</f>
        <v>667.74182609950424</v>
      </c>
      <c r="O54" s="12">
        <f ca="1">-IF(Model!Q192&lt;0,SUM(Model!Q192,Model!Q220),Model!Q220)</f>
        <v>790.60028013716567</v>
      </c>
      <c r="P54" s="12">
        <f ca="1">-IF(Model!R192&lt;0,SUM(Model!R192,Model!R220),Model!R220)</f>
        <v>550</v>
      </c>
    </row>
    <row r="55" spans="2:27" x14ac:dyDescent="0.3">
      <c r="B55" t="s">
        <v>49</v>
      </c>
      <c r="J55" s="11">
        <f ca="1">Model!L258</f>
        <v>4877.194046040363</v>
      </c>
      <c r="K55" s="11">
        <f ca="1">Model!M258</f>
        <v>4532.2251014744334</v>
      </c>
      <c r="L55" s="11">
        <f ca="1">Model!N258</f>
        <v>4119.3578302177784</v>
      </c>
      <c r="M55" s="11">
        <f ca="1">Model!O258</f>
        <v>3585.5361522770327</v>
      </c>
      <c r="N55" s="11">
        <f ca="1">Model!P258</f>
        <v>2917.7943261775285</v>
      </c>
      <c r="O55" s="11">
        <f ca="1">Model!Q258</f>
        <v>2102.7556868567699</v>
      </c>
      <c r="P55" s="11">
        <f ca="1">Model!R258</f>
        <v>1131.8562489497631</v>
      </c>
    </row>
    <row r="56" spans="2:27" x14ac:dyDescent="0.3">
      <c r="B56" t="s">
        <v>50</v>
      </c>
      <c r="J56" s="11">
        <f ca="1">Model!L237</f>
        <v>150.00000000000091</v>
      </c>
      <c r="K56" s="11">
        <f ca="1">Model!M237</f>
        <v>150</v>
      </c>
      <c r="L56" s="11">
        <f ca="1">Model!N237</f>
        <v>150</v>
      </c>
      <c r="M56" s="11">
        <f ca="1">Model!O237</f>
        <v>150</v>
      </c>
      <c r="N56" s="11">
        <f ca="1">Model!P237</f>
        <v>150</v>
      </c>
      <c r="O56" s="11">
        <f ca="1">Model!Q237</f>
        <v>150</v>
      </c>
      <c r="P56" s="11">
        <f ca="1">Model!R237</f>
        <v>150</v>
      </c>
    </row>
    <row r="58" spans="2:27" x14ac:dyDescent="0.3">
      <c r="B58" s="33" t="s">
        <v>51</v>
      </c>
      <c r="J58" s="436">
        <f ca="1">J55/Model!L86</f>
        <v>6.4612570256589166</v>
      </c>
      <c r="K58" s="248">
        <f t="shared" ref="K58:P58" ca="1" si="5">K55/K35</f>
        <v>5.2852224810077164</v>
      </c>
      <c r="L58" s="248">
        <f t="shared" ca="1" si="5"/>
        <v>4.2544622340334151</v>
      </c>
      <c r="M58" s="248">
        <f t="shared" ca="1" si="5"/>
        <v>3.2409894290279095</v>
      </c>
      <c r="N58" s="248">
        <f t="shared" ca="1" si="5"/>
        <v>2.3236755304338366</v>
      </c>
      <c r="O58" s="248">
        <f t="shared" ca="1" si="5"/>
        <v>1.4851324903941119</v>
      </c>
      <c r="P58" s="248">
        <f t="shared" ca="1" si="5"/>
        <v>0.71360508212597751</v>
      </c>
    </row>
    <row r="59" spans="2:27" x14ac:dyDescent="0.3">
      <c r="B59" s="33" t="s">
        <v>52</v>
      </c>
      <c r="J59" s="248">
        <f t="shared" ref="J59:P59" ca="1" si="6">(J35-J37-J38)/(J52+J54)</f>
        <v>0.36485011384508942</v>
      </c>
      <c r="K59" s="248">
        <f t="shared" ca="1" si="6"/>
        <v>0.8070528134081546</v>
      </c>
      <c r="L59" s="248">
        <f t="shared" ca="1" si="6"/>
        <v>0.90352998569727649</v>
      </c>
      <c r="M59" s="248">
        <f t="shared" ca="1" si="6"/>
        <v>1.0839388317181204</v>
      </c>
      <c r="N59" s="248">
        <f t="shared" ca="1" si="6"/>
        <v>1.0999681267512016</v>
      </c>
      <c r="O59" s="248">
        <f t="shared" ca="1" si="6"/>
        <v>1.1197591423960052</v>
      </c>
      <c r="P59" s="248">
        <f t="shared" ca="1" si="6"/>
        <v>1.84463105308571</v>
      </c>
      <c r="Q59" t="s">
        <v>53</v>
      </c>
    </row>
    <row r="60" spans="2:27" x14ac:dyDescent="0.3">
      <c r="B60" s="33" t="s">
        <v>54</v>
      </c>
      <c r="J60" s="248">
        <f ca="1">J36/J52</f>
        <v>1.1953417521299277</v>
      </c>
      <c r="K60" s="248">
        <f t="shared" ref="K60:P60" ca="1" si="7">K36/K52</f>
        <v>2.2842228233599928</v>
      </c>
      <c r="L60" s="248">
        <f t="shared" ca="1" si="7"/>
        <v>3.0667162179308405</v>
      </c>
      <c r="M60" s="248">
        <f t="shared" ca="1" si="7"/>
        <v>4.5115552980740565</v>
      </c>
      <c r="N60" s="248">
        <f t="shared" ca="1" si="7"/>
        <v>6.9700794331650204</v>
      </c>
      <c r="O60" s="248">
        <f t="shared" ca="1" si="7"/>
        <v>11.779664924071868</v>
      </c>
      <c r="P60" s="248">
        <f t="shared" ca="1" si="7"/>
        <v>22.322604117450869</v>
      </c>
    </row>
    <row r="62" spans="2:27" ht="18" x14ac:dyDescent="0.35">
      <c r="B62" s="434" t="s">
        <v>55</v>
      </c>
      <c r="C62" s="434"/>
      <c r="D62" s="434"/>
      <c r="E62" s="230"/>
      <c r="F62" s="230"/>
      <c r="G62" s="230"/>
      <c r="I62" s="434" t="s">
        <v>32</v>
      </c>
      <c r="J62" s="230"/>
      <c r="K62" s="230"/>
      <c r="M62" s="434" t="s">
        <v>56</v>
      </c>
      <c r="N62" s="434"/>
      <c r="O62" s="434"/>
      <c r="P62" s="434"/>
      <c r="Q62" s="434"/>
      <c r="R62" s="434"/>
      <c r="S62" s="434"/>
      <c r="U62" s="434" t="s">
        <v>57</v>
      </c>
      <c r="V62" s="434"/>
      <c r="W62" s="434"/>
      <c r="X62" s="434"/>
      <c r="Y62" s="434"/>
      <c r="Z62" s="434"/>
      <c r="AA62" s="230"/>
    </row>
    <row r="79" spans="2:27" ht="18" x14ac:dyDescent="0.35">
      <c r="B79" s="434" t="s">
        <v>58</v>
      </c>
      <c r="C79" s="230"/>
      <c r="D79" s="230"/>
      <c r="E79" s="230"/>
      <c r="F79" s="230"/>
      <c r="G79" s="230"/>
      <c r="I79" s="434" t="s">
        <v>59</v>
      </c>
      <c r="J79" s="230"/>
      <c r="K79" s="230"/>
      <c r="M79" s="434" t="s">
        <v>60</v>
      </c>
      <c r="N79" s="434"/>
      <c r="O79" s="434"/>
      <c r="P79" s="434"/>
      <c r="Q79" s="434"/>
      <c r="R79" s="434"/>
      <c r="S79" s="230"/>
      <c r="U79" s="434" t="s">
        <v>61</v>
      </c>
      <c r="V79" s="434"/>
      <c r="W79" s="434"/>
      <c r="X79" s="434"/>
      <c r="Y79" s="434"/>
      <c r="Z79" s="434"/>
      <c r="AA79" s="230"/>
    </row>
    <row r="97" spans="2:20" ht="18" x14ac:dyDescent="0.35">
      <c r="B97" s="1" t="s">
        <v>62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100" spans="2:20" ht="18" x14ac:dyDescent="0.35">
      <c r="B100" s="254">
        <v>0.5</v>
      </c>
      <c r="C100" s="449" t="s">
        <v>63</v>
      </c>
      <c r="D100" s="449"/>
      <c r="E100" s="449"/>
      <c r="F100" s="449"/>
      <c r="G100" s="449"/>
      <c r="P100" s="4" t="s">
        <v>64</v>
      </c>
      <c r="Q100" s="5"/>
      <c r="R100" s="255" t="s">
        <v>65</v>
      </c>
      <c r="S100" s="255" t="s">
        <v>66</v>
      </c>
    </row>
    <row r="101" spans="2:20" x14ac:dyDescent="0.3">
      <c r="D101" s="433" t="s">
        <v>67</v>
      </c>
      <c r="E101" s="433" t="s">
        <v>65</v>
      </c>
      <c r="F101" s="433" t="s">
        <v>66</v>
      </c>
      <c r="P101" s="6" t="s">
        <v>68</v>
      </c>
      <c r="R101" s="257">
        <f ca="1">Model!F318</f>
        <v>0.10719148516654969</v>
      </c>
      <c r="S101" s="256">
        <f ca="1">Model!G318</f>
        <v>1.1954770445330065</v>
      </c>
    </row>
    <row r="102" spans="2:20" ht="15" thickBot="1" x14ac:dyDescent="0.35">
      <c r="D102" s="7"/>
      <c r="E102" s="431">
        <f ca="1">I27</f>
        <v>0.17529839873313907</v>
      </c>
      <c r="F102" s="432">
        <f ca="1">O27</f>
        <v>2.9793709644434681</v>
      </c>
      <c r="P102" s="6" t="s">
        <v>69</v>
      </c>
      <c r="R102" s="257">
        <f ca="1">Model!F317</f>
        <v>0.14660379290580752</v>
      </c>
      <c r="S102" s="256">
        <f ca="1">Model!G317</f>
        <v>1.4579848895777625</v>
      </c>
    </row>
    <row r="103" spans="2:20" x14ac:dyDescent="0.3">
      <c r="D103" s="424">
        <f>D104+$B$100</f>
        <v>16</v>
      </c>
      <c r="E103" s="427">
        <f t="dataTable" ref="E103:F107" dt2D="0" dtr="0" r1="E8" ca="1"/>
        <v>0.18849713206291202</v>
      </c>
      <c r="F103" s="249">
        <v>3.2129593722284175</v>
      </c>
      <c r="P103" s="6" t="s">
        <v>70</v>
      </c>
      <c r="R103" s="257">
        <f ca="1">Model!F316</f>
        <v>0.1670884191989899</v>
      </c>
      <c r="S103" s="256">
        <f ca="1">Model!G316</f>
        <v>1.7867046103954611</v>
      </c>
    </row>
    <row r="104" spans="2:20" x14ac:dyDescent="0.3">
      <c r="D104" s="425">
        <f>D105+$B$100</f>
        <v>15.5</v>
      </c>
      <c r="E104" s="428">
        <v>0.18200978636741638</v>
      </c>
      <c r="F104" s="250">
        <v>3.096270267950417</v>
      </c>
      <c r="P104" s="6" t="s">
        <v>71</v>
      </c>
      <c r="R104" s="257">
        <f ca="1">Model!F315</f>
        <v>0.17455300688743591</v>
      </c>
      <c r="S104" s="256">
        <f ca="1">Model!G315</f>
        <v>2.1494417036260427</v>
      </c>
    </row>
    <row r="105" spans="2:20" x14ac:dyDescent="0.3">
      <c r="D105" s="253">
        <v>15</v>
      </c>
      <c r="E105" s="429">
        <v>0.17529839873313907</v>
      </c>
      <c r="F105" s="251">
        <v>2.9793709644434681</v>
      </c>
      <c r="P105" s="6" t="s">
        <v>72</v>
      </c>
      <c r="R105" s="257">
        <f ca="1">Model!F314</f>
        <v>0.17635956406593326</v>
      </c>
      <c r="S105" s="256">
        <f ca="1">Model!G314</f>
        <v>2.5470668500452867</v>
      </c>
    </row>
    <row r="106" spans="2:20" x14ac:dyDescent="0.3">
      <c r="D106" s="425">
        <f>D105-$B$100</f>
        <v>14.5</v>
      </c>
      <c r="E106" s="428">
        <v>0.1683441936969757</v>
      </c>
      <c r="F106" s="250">
        <v>2.8622303377809239</v>
      </c>
      <c r="P106" s="6" t="s">
        <v>73</v>
      </c>
      <c r="R106" s="257">
        <f ca="1">Model!F313</f>
        <v>0.17529839873313907</v>
      </c>
      <c r="S106" s="256">
        <f ca="1">Model!G313</f>
        <v>2.9793709644434681</v>
      </c>
    </row>
    <row r="107" spans="2:20" ht="15" thickBot="1" x14ac:dyDescent="0.35">
      <c r="D107" s="426">
        <f>D106-$B$100</f>
        <v>14</v>
      </c>
      <c r="E107" s="430">
        <v>0.16112564206123359</v>
      </c>
      <c r="F107" s="252">
        <v>2.7448107415808529</v>
      </c>
    </row>
  </sheetData>
  <mergeCells count="7">
    <mergeCell ref="C100:G100"/>
    <mergeCell ref="B24:E24"/>
    <mergeCell ref="H24:K24"/>
    <mergeCell ref="N24:R24"/>
    <mergeCell ref="C27:D27"/>
    <mergeCell ref="I27:J27"/>
    <mergeCell ref="O27:Q27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U43"/>
  <sheetViews>
    <sheetView showGridLines="0" workbookViewId="0">
      <selection activeCell="B3" sqref="B3"/>
    </sheetView>
  </sheetViews>
  <sheetFormatPr defaultRowHeight="14.4" x14ac:dyDescent="0.3"/>
  <cols>
    <col min="1" max="1" width="4.6640625" customWidth="1"/>
    <col min="2" max="2" width="35.6640625" bestFit="1" customWidth="1"/>
    <col min="3" max="3" width="8.6640625" bestFit="1" customWidth="1"/>
    <col min="5" max="5" width="31.109375" bestFit="1" customWidth="1"/>
    <col min="6" max="6" width="14.6640625" customWidth="1"/>
    <col min="7" max="8" width="10.6640625" customWidth="1"/>
    <col min="9" max="9" width="9.88671875" customWidth="1"/>
    <col min="10" max="10" width="8" customWidth="1"/>
    <col min="12" max="15" width="8.6640625" customWidth="1"/>
    <col min="19" max="19" width="10.33203125" bestFit="1" customWidth="1"/>
  </cols>
  <sheetData>
    <row r="3" spans="2:21" ht="18" x14ac:dyDescent="0.35">
      <c r="B3" s="1" t="s">
        <v>0</v>
      </c>
      <c r="C3" s="2"/>
      <c r="E3" s="1" t="s">
        <v>1</v>
      </c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5" spans="2:21" x14ac:dyDescent="0.3">
      <c r="B5" s="3" t="s">
        <v>2</v>
      </c>
    </row>
    <row r="7" spans="2:21" x14ac:dyDescent="0.3">
      <c r="B7" s="4" t="s">
        <v>3</v>
      </c>
      <c r="C7" s="5"/>
      <c r="E7" s="15" t="s">
        <v>4</v>
      </c>
      <c r="F7" s="15"/>
      <c r="G7" s="74" t="s">
        <v>6</v>
      </c>
      <c r="H7" s="74" t="s">
        <v>74</v>
      </c>
      <c r="L7" s="15" t="s">
        <v>7</v>
      </c>
      <c r="M7" s="5"/>
      <c r="N7" s="5"/>
      <c r="O7" s="5"/>
    </row>
    <row r="8" spans="2:21" x14ac:dyDescent="0.3">
      <c r="B8" s="6" t="s">
        <v>75</v>
      </c>
      <c r="C8" s="7">
        <f>C20/C10</f>
        <v>19.041886824695325</v>
      </c>
      <c r="E8" s="6" t="s">
        <v>9</v>
      </c>
      <c r="F8" s="6"/>
      <c r="G8" s="9">
        <v>500</v>
      </c>
      <c r="H8" s="7">
        <f>G8/$C$10</f>
        <v>0.80353555644837282</v>
      </c>
      <c r="L8" s="6" t="s">
        <v>10</v>
      </c>
      <c r="O8" s="61">
        <f>C15</f>
        <v>11202.447409999999</v>
      </c>
    </row>
    <row r="9" spans="2:21" x14ac:dyDescent="0.3">
      <c r="B9" s="6" t="s">
        <v>11</v>
      </c>
      <c r="C9" s="8">
        <v>15</v>
      </c>
      <c r="E9" s="6" t="s">
        <v>76</v>
      </c>
      <c r="F9" s="6" t="s">
        <v>77</v>
      </c>
      <c r="G9" s="9">
        <v>5500</v>
      </c>
      <c r="H9" s="7">
        <f t="shared" ref="H9:H11" si="0">G9/$C$10</f>
        <v>8.8388911209321019</v>
      </c>
      <c r="L9" s="6" t="s">
        <v>13</v>
      </c>
      <c r="O9" s="11">
        <f>C17</f>
        <v>1206.5666666666668</v>
      </c>
    </row>
    <row r="10" spans="2:21" x14ac:dyDescent="0.3">
      <c r="B10" s="6" t="s">
        <v>14</v>
      </c>
      <c r="C10" s="58">
        <v>622.25</v>
      </c>
      <c r="E10" s="6" t="s">
        <v>15</v>
      </c>
      <c r="F10" s="78">
        <v>0.9</v>
      </c>
      <c r="G10" s="61" cm="1">
        <f t="array" ref="G10">F10*(SUM(G$13,-G$8:G$9,-G12))</f>
        <v>5711.2496357250002</v>
      </c>
      <c r="H10" s="7">
        <f t="shared" si="0"/>
        <v>9.1783843081157102</v>
      </c>
      <c r="I10" s="79"/>
      <c r="L10" s="6" t="s">
        <v>16</v>
      </c>
      <c r="O10" s="16">
        <f>P25</f>
        <v>436.81885191666663</v>
      </c>
    </row>
    <row r="11" spans="2:21" x14ac:dyDescent="0.3">
      <c r="B11" s="6" t="s">
        <v>78</v>
      </c>
      <c r="C11" s="241" t="str">
        <f>IF(C8=C9,"Yes","No")</f>
        <v>No</v>
      </c>
      <c r="E11" s="6" t="s">
        <v>79</v>
      </c>
      <c r="F11" s="192">
        <f>1-F10</f>
        <v>9.9999999999999978E-2</v>
      </c>
      <c r="G11" s="61" cm="1">
        <f t="array" ref="G11">F11*(SUM(G$13,-G$8:G$9,-G12))</f>
        <v>634.58329285833315</v>
      </c>
      <c r="H11" s="7">
        <f t="shared" si="0"/>
        <v>1.0198204786795229</v>
      </c>
      <c r="I11" s="79"/>
      <c r="L11" s="17" t="s">
        <v>18</v>
      </c>
      <c r="O11" s="18">
        <f>SUM(O8:O10)</f>
        <v>12845.832928583333</v>
      </c>
      <c r="U11" s="60" t="s">
        <v>80</v>
      </c>
    </row>
    <row r="12" spans="2:21" x14ac:dyDescent="0.3">
      <c r="B12" s="6"/>
      <c r="E12" s="6" t="s">
        <v>20</v>
      </c>
      <c r="F12" s="193">
        <v>4.4633103972768394E-2</v>
      </c>
      <c r="G12" s="57">
        <f>F12*O8</f>
        <v>499.99999999999994</v>
      </c>
      <c r="H12" s="19">
        <f>G12/$C$10</f>
        <v>0.80353555644837271</v>
      </c>
    </row>
    <row r="13" spans="2:21" x14ac:dyDescent="0.3">
      <c r="E13" s="17" t="s">
        <v>21</v>
      </c>
      <c r="F13" s="17"/>
      <c r="G13" s="18">
        <f>O11</f>
        <v>12845.832928583333</v>
      </c>
      <c r="H13" s="20">
        <f>SUM(H8:H12)</f>
        <v>20.644167020624081</v>
      </c>
      <c r="L13" s="421" t="s">
        <v>81</v>
      </c>
      <c r="M13" s="244"/>
      <c r="N13" s="244" t="s">
        <v>82</v>
      </c>
      <c r="O13" s="5"/>
    </row>
    <row r="14" spans="2:21" x14ac:dyDescent="0.3">
      <c r="B14" s="4" t="s">
        <v>19</v>
      </c>
      <c r="C14" s="5"/>
      <c r="L14" s="95">
        <f>SUM(G10:G12)/G13</f>
        <v>0.53292246338893545</v>
      </c>
      <c r="M14" s="95"/>
      <c r="N14" s="95">
        <f>SUM(G8:G9)/G13</f>
        <v>0.46707753661106449</v>
      </c>
    </row>
    <row r="15" spans="2:21" x14ac:dyDescent="0.3">
      <c r="B15" s="6" t="s">
        <v>10</v>
      </c>
      <c r="C15" s="11">
        <f>C22*C23</f>
        <v>11202.447409999999</v>
      </c>
      <c r="G15" s="195" t="s">
        <v>83</v>
      </c>
      <c r="H15" s="196">
        <f>IF(SUM(H8:H12)=O11/C10,1,0)</f>
        <v>1</v>
      </c>
    </row>
    <row r="16" spans="2:21" x14ac:dyDescent="0.3">
      <c r="B16" s="6" t="s">
        <v>84</v>
      </c>
      <c r="C16" s="9">
        <v>579.70000000000005</v>
      </c>
    </row>
    <row r="17" spans="2:19" x14ac:dyDescent="0.3">
      <c r="B17" s="6" t="s">
        <v>85</v>
      </c>
      <c r="C17" s="26">
        <f>Model!S170</f>
        <v>1206.5666666666668</v>
      </c>
      <c r="E17" s="79"/>
    </row>
    <row r="18" spans="2:19" x14ac:dyDescent="0.3">
      <c r="B18" s="6" t="s">
        <v>86</v>
      </c>
      <c r="C18" s="26">
        <f>'Balance Sheet (Q)'!F40+'Balance Sheet (Q)'!F45</f>
        <v>19.5</v>
      </c>
    </row>
    <row r="19" spans="2:19" ht="18" x14ac:dyDescent="0.35">
      <c r="B19" s="6" t="s">
        <v>22</v>
      </c>
      <c r="C19" s="12">
        <f>SUM(C17:C18)-C16</f>
        <v>646.36666666666679</v>
      </c>
      <c r="E19" s="1" t="s">
        <v>87</v>
      </c>
      <c r="F19" s="1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2:19" x14ac:dyDescent="0.3">
      <c r="B20" s="6" t="s">
        <v>88</v>
      </c>
      <c r="C20" s="61">
        <f>C15+C19</f>
        <v>11848.814076666666</v>
      </c>
    </row>
    <row r="21" spans="2:19" x14ac:dyDescent="0.3">
      <c r="B21" s="6"/>
      <c r="C21" s="11"/>
      <c r="E21" s="4" t="s">
        <v>89</v>
      </c>
      <c r="F21" s="4"/>
      <c r="G21" s="5"/>
      <c r="H21" s="5"/>
      <c r="L21" s="4" t="s">
        <v>16</v>
      </c>
      <c r="M21" s="5"/>
      <c r="N21" s="5"/>
      <c r="O21" s="21" t="s">
        <v>90</v>
      </c>
      <c r="P21" s="22" t="s">
        <v>91</v>
      </c>
      <c r="R21" s="229" t="s">
        <v>92</v>
      </c>
      <c r="S21" s="230"/>
    </row>
    <row r="22" spans="2:19" x14ac:dyDescent="0.3">
      <c r="B22" s="6" t="s">
        <v>93</v>
      </c>
      <c r="C22" s="13">
        <v>160.03496299999998</v>
      </c>
      <c r="E22" s="23" t="s">
        <v>94</v>
      </c>
      <c r="F22" s="23"/>
      <c r="G22" s="24"/>
      <c r="H22" s="30">
        <v>2025</v>
      </c>
      <c r="L22" s="25" t="s">
        <v>95</v>
      </c>
      <c r="O22" s="75">
        <v>1.4999999999999999E-2</v>
      </c>
      <c r="P22" s="61">
        <f>O22*O9</f>
        <v>18.098500000000001</v>
      </c>
      <c r="R22" s="231">
        <f>YEARFRAC(H23,H24)</f>
        <v>0.25</v>
      </c>
      <c r="S22" s="232"/>
    </row>
    <row r="23" spans="2:19" x14ac:dyDescent="0.3">
      <c r="B23" s="6" t="s">
        <v>96</v>
      </c>
      <c r="C23" s="14">
        <v>70</v>
      </c>
      <c r="E23" s="23" t="s">
        <v>97</v>
      </c>
      <c r="F23" s="23"/>
      <c r="G23" s="24"/>
      <c r="H23" s="80">
        <v>46022</v>
      </c>
      <c r="L23" s="27" t="s">
        <v>98</v>
      </c>
      <c r="O23" s="76"/>
      <c r="P23" s="11">
        <f>SUM(H38:H39)</f>
        <v>122.5</v>
      </c>
      <c r="R23" s="28"/>
      <c r="S23" s="28"/>
    </row>
    <row r="24" spans="2:19" x14ac:dyDescent="0.3">
      <c r="B24" s="6" t="s">
        <v>27</v>
      </c>
      <c r="C24" s="14">
        <v>52.88</v>
      </c>
      <c r="E24" s="23" t="s">
        <v>99</v>
      </c>
      <c r="F24" s="23"/>
      <c r="G24" s="24"/>
      <c r="H24" s="174">
        <f>EDATE(H23,3)</f>
        <v>46112</v>
      </c>
      <c r="L24" s="27" t="s">
        <v>100</v>
      </c>
      <c r="O24" s="76">
        <v>2.5000000000000001E-2</v>
      </c>
      <c r="P24" s="16">
        <f>O24*C20</f>
        <v>296.22035191666663</v>
      </c>
    </row>
    <row r="25" spans="2:19" x14ac:dyDescent="0.3">
      <c r="B25" s="6" t="s">
        <v>28</v>
      </c>
      <c r="C25" s="67">
        <f>(C23-C24)/C24</f>
        <v>0.32375189107413005</v>
      </c>
      <c r="E25" s="23" t="s">
        <v>101</v>
      </c>
      <c r="F25" s="23"/>
      <c r="G25" s="10"/>
      <c r="H25" s="30">
        <v>2025</v>
      </c>
      <c r="L25" s="29" t="s">
        <v>102</v>
      </c>
      <c r="O25" s="77"/>
      <c r="P25" s="18">
        <f>SUM(P22:P24)</f>
        <v>436.81885191666663</v>
      </c>
    </row>
    <row r="26" spans="2:19" x14ac:dyDescent="0.3">
      <c r="G26" s="30"/>
      <c r="L26" s="29"/>
      <c r="O26" s="31"/>
      <c r="P26" s="11"/>
    </row>
    <row r="27" spans="2:19" x14ac:dyDescent="0.3">
      <c r="E27" s="23" t="s">
        <v>103</v>
      </c>
      <c r="F27" s="23"/>
      <c r="G27" s="30"/>
      <c r="H27" s="30">
        <v>365</v>
      </c>
    </row>
    <row r="28" spans="2:19" x14ac:dyDescent="0.3">
      <c r="E28" s="23" t="s">
        <v>104</v>
      </c>
      <c r="F28" s="23"/>
      <c r="G28" s="32"/>
      <c r="H28" s="30">
        <v>150</v>
      </c>
    </row>
    <row r="29" spans="2:19" x14ac:dyDescent="0.3">
      <c r="E29" s="23" t="s">
        <v>105</v>
      </c>
      <c r="F29" s="23"/>
      <c r="G29" s="9"/>
      <c r="H29" s="32">
        <v>0.25</v>
      </c>
    </row>
    <row r="34" spans="1:19" ht="18" x14ac:dyDescent="0.35">
      <c r="B34" s="1" t="s">
        <v>106</v>
      </c>
      <c r="C34" s="2"/>
      <c r="D34" s="2"/>
      <c r="E34" s="2"/>
      <c r="F34" s="2"/>
      <c r="G34" s="2"/>
      <c r="H34" s="2"/>
      <c r="I34" s="2"/>
      <c r="J34" s="2"/>
      <c r="K34" s="2"/>
    </row>
    <row r="35" spans="1:19" x14ac:dyDescent="0.3">
      <c r="J35" s="33"/>
    </row>
    <row r="36" spans="1:19" x14ac:dyDescent="0.3">
      <c r="C36" s="68"/>
      <c r="D36" s="69"/>
      <c r="E36" s="70"/>
      <c r="F36" s="70" t="s">
        <v>107</v>
      </c>
      <c r="G36" s="70" t="s">
        <v>108</v>
      </c>
      <c r="H36" s="70" t="s">
        <v>108</v>
      </c>
      <c r="I36" s="70" t="s">
        <v>109</v>
      </c>
      <c r="J36" s="70" t="s">
        <v>110</v>
      </c>
      <c r="K36" s="70" t="s">
        <v>50</v>
      </c>
    </row>
    <row r="37" spans="1:19" x14ac:dyDescent="0.3">
      <c r="B37" s="4" t="s">
        <v>111</v>
      </c>
      <c r="C37" s="71" t="s">
        <v>6</v>
      </c>
      <c r="D37" s="71" t="s">
        <v>112</v>
      </c>
      <c r="E37" s="72" t="s">
        <v>113</v>
      </c>
      <c r="F37" s="72" t="s">
        <v>114</v>
      </c>
      <c r="G37" s="72" t="s">
        <v>115</v>
      </c>
      <c r="H37" s="72" t="s">
        <v>116</v>
      </c>
      <c r="I37" s="72" t="s">
        <v>115</v>
      </c>
      <c r="J37" s="72" t="s">
        <v>117</v>
      </c>
      <c r="K37" s="72" t="s">
        <v>118</v>
      </c>
    </row>
    <row r="38" spans="1:19" x14ac:dyDescent="0.3">
      <c r="B38" s="6" t="s">
        <v>9</v>
      </c>
      <c r="C38" s="64">
        <f>G8</f>
        <v>500</v>
      </c>
      <c r="D38" s="59">
        <f>C38/SUM($C$38:$C$41)</f>
        <v>4.0499495084077269E-2</v>
      </c>
      <c r="E38" s="73">
        <v>750</v>
      </c>
      <c r="F38" s="73" t="s">
        <v>119</v>
      </c>
      <c r="G38" s="65">
        <v>2.5000000000000001E-2</v>
      </c>
      <c r="H38" s="66">
        <f>G38*C38</f>
        <v>12.5</v>
      </c>
      <c r="I38" s="65">
        <v>2.5000000000000001E-2</v>
      </c>
      <c r="J38" s="73">
        <v>200</v>
      </c>
      <c r="K38" s="73" t="s">
        <v>119</v>
      </c>
    </row>
    <row r="39" spans="1:19" x14ac:dyDescent="0.3">
      <c r="B39" s="6" t="s">
        <v>12</v>
      </c>
      <c r="C39" s="64">
        <f t="shared" ref="C39:C41" si="1">G9</f>
        <v>5500</v>
      </c>
      <c r="D39" s="59">
        <f t="shared" ref="D39:D41" si="2">C39/SUM($C$38:$C$41)</f>
        <v>0.44549444592484999</v>
      </c>
      <c r="E39" s="73" t="s">
        <v>119</v>
      </c>
      <c r="F39" s="65">
        <v>0.1</v>
      </c>
      <c r="G39" s="65">
        <v>0.02</v>
      </c>
      <c r="H39" s="66">
        <f t="shared" ref="H39" si="3">G39*C39</f>
        <v>110</v>
      </c>
      <c r="I39" s="73" t="s">
        <v>119</v>
      </c>
      <c r="J39" s="73">
        <v>350</v>
      </c>
      <c r="K39" s="225">
        <v>1</v>
      </c>
    </row>
    <row r="40" spans="1:19" x14ac:dyDescent="0.3">
      <c r="B40" s="6" t="s">
        <v>15</v>
      </c>
      <c r="C40" s="64">
        <f t="shared" si="1"/>
        <v>5711.2496357250002</v>
      </c>
      <c r="D40" s="59">
        <f t="shared" si="2"/>
        <v>0.46260545309196549</v>
      </c>
      <c r="E40" s="73" t="s">
        <v>119</v>
      </c>
      <c r="F40" s="73" t="s">
        <v>119</v>
      </c>
      <c r="G40" s="73" t="s">
        <v>119</v>
      </c>
      <c r="H40" s="73" t="s">
        <v>119</v>
      </c>
      <c r="I40" s="73" t="s">
        <v>119</v>
      </c>
      <c r="J40" s="73" t="s">
        <v>119</v>
      </c>
      <c r="K40" s="73" t="s">
        <v>119</v>
      </c>
    </row>
    <row r="41" spans="1:19" x14ac:dyDescent="0.3">
      <c r="B41" s="6" t="s">
        <v>79</v>
      </c>
      <c r="C41" s="64">
        <f t="shared" si="1"/>
        <v>634.58329285833315</v>
      </c>
      <c r="D41" s="59">
        <f t="shared" si="2"/>
        <v>5.1400605899107263E-2</v>
      </c>
      <c r="E41" s="73" t="s">
        <v>119</v>
      </c>
      <c r="F41" s="73" t="s">
        <v>119</v>
      </c>
      <c r="G41" s="73" t="s">
        <v>119</v>
      </c>
      <c r="H41" s="73" t="s">
        <v>119</v>
      </c>
      <c r="I41" s="73" t="s">
        <v>119</v>
      </c>
      <c r="J41" s="73" t="s">
        <v>119</v>
      </c>
      <c r="K41" s="73" t="s">
        <v>119</v>
      </c>
    </row>
    <row r="42" spans="1:19" x14ac:dyDescent="0.3">
      <c r="D42" s="59"/>
    </row>
    <row r="43" spans="1:19" x14ac:dyDescent="0.3">
      <c r="A43" s="5" t="s">
        <v>340</v>
      </c>
      <c r="B43" s="5" t="s">
        <v>340</v>
      </c>
      <c r="C43" s="5" t="s">
        <v>340</v>
      </c>
      <c r="D43" s="5" t="s">
        <v>340</v>
      </c>
      <c r="E43" s="5" t="s">
        <v>340</v>
      </c>
      <c r="F43" s="5" t="s">
        <v>340</v>
      </c>
      <c r="G43" s="5" t="s">
        <v>340</v>
      </c>
      <c r="H43" s="5" t="s">
        <v>340</v>
      </c>
      <c r="I43" s="5" t="s">
        <v>340</v>
      </c>
      <c r="J43" s="5" t="s">
        <v>340</v>
      </c>
      <c r="K43" s="5" t="s">
        <v>340</v>
      </c>
      <c r="L43" s="5" t="s">
        <v>340</v>
      </c>
      <c r="M43" s="5" t="s">
        <v>340</v>
      </c>
      <c r="N43" s="5" t="s">
        <v>340</v>
      </c>
      <c r="O43" s="5" t="s">
        <v>340</v>
      </c>
      <c r="P43" s="5" t="s">
        <v>340</v>
      </c>
      <c r="Q43" s="5" t="s">
        <v>340</v>
      </c>
      <c r="R43" s="5" t="s">
        <v>340</v>
      </c>
      <c r="S43" s="5" t="s">
        <v>340</v>
      </c>
    </row>
  </sheetData>
  <conditionalFormatting sqref="H15">
    <cfRule type="expression" dxfId="1" priority="1">
      <formula>$H$15=0</formula>
    </cfRule>
    <cfRule type="expression" dxfId="0" priority="2">
      <formula>$H$15=1</formula>
    </cfRule>
  </conditionalFormatting>
  <hyperlinks>
    <hyperlink ref="U11" r:id="rId1" xr:uid="{07988E31-4286-4CEE-AD83-6CA2779A5C3B}"/>
  </hyperlinks>
  <pageMargins left="0.7" right="0.7" top="0.75" bottom="0.75" header="0.3" footer="0.3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E35C9-6AA5-4130-A3F6-2904C3168FBD}">
  <sheetPr codeName="Sheet2"/>
  <dimension ref="A2:R117"/>
  <sheetViews>
    <sheetView showGridLines="0" zoomScaleNormal="100" workbookViewId="0">
      <pane ySplit="4" topLeftCell="A5" activePane="bottomLeft" state="frozen"/>
      <selection pane="bottomLeft" activeCell="B2" sqref="B2"/>
    </sheetView>
  </sheetViews>
  <sheetFormatPr defaultRowHeight="14.4" x14ac:dyDescent="0.3"/>
  <cols>
    <col min="1" max="1" width="4.6640625" customWidth="1"/>
    <col min="2" max="2" width="25.88671875" bestFit="1" customWidth="1"/>
    <col min="3" max="3" width="23.33203125" bestFit="1" customWidth="1"/>
    <col min="7" max="18" width="10.6640625" customWidth="1"/>
  </cols>
  <sheetData>
    <row r="2" spans="1:18" ht="15.6" x14ac:dyDescent="0.3">
      <c r="A2" s="34" t="s">
        <v>120</v>
      </c>
      <c r="B2" s="35" t="s">
        <v>121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4" spans="1:18" ht="15" thickBot="1" x14ac:dyDescent="0.35">
      <c r="G4" s="42">
        <v>2021</v>
      </c>
      <c r="H4" s="42">
        <v>2022</v>
      </c>
      <c r="I4" s="42">
        <v>2023</v>
      </c>
      <c r="J4" s="42">
        <v>2024</v>
      </c>
      <c r="K4" s="43">
        <v>2025</v>
      </c>
      <c r="L4" s="43">
        <f t="shared" ref="L4:Q4" si="0">K4+1</f>
        <v>2026</v>
      </c>
      <c r="M4" s="43">
        <f t="shared" si="0"/>
        <v>2027</v>
      </c>
      <c r="N4" s="43">
        <f t="shared" si="0"/>
        <v>2028</v>
      </c>
      <c r="O4" s="43">
        <f t="shared" si="0"/>
        <v>2029</v>
      </c>
      <c r="P4" s="43">
        <f t="shared" si="0"/>
        <v>2030</v>
      </c>
      <c r="Q4" s="43">
        <f t="shared" si="0"/>
        <v>2031</v>
      </c>
      <c r="R4" s="43">
        <f>Q4+1</f>
        <v>2032</v>
      </c>
    </row>
    <row r="6" spans="1:18" x14ac:dyDescent="0.3">
      <c r="C6" s="83" t="s">
        <v>122</v>
      </c>
      <c r="D6" s="82" t="s">
        <v>123</v>
      </c>
    </row>
    <row r="8" spans="1:18" ht="15.6" x14ac:dyDescent="0.3">
      <c r="A8" s="34" t="s">
        <v>120</v>
      </c>
      <c r="B8" s="35" t="s">
        <v>124</v>
      </c>
      <c r="C8" s="36"/>
      <c r="D8" s="36"/>
      <c r="E8" s="36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</row>
    <row r="10" spans="1:18" x14ac:dyDescent="0.3">
      <c r="B10" s="33" t="s">
        <v>125</v>
      </c>
      <c r="G10" s="154">
        <f>Model!G23</f>
        <v>0</v>
      </c>
      <c r="H10" s="154">
        <f>Model!H23</f>
        <v>967.39999999999986</v>
      </c>
      <c r="I10" s="154">
        <f>Model!I23</f>
        <v>1128.5999999999999</v>
      </c>
      <c r="J10" s="154">
        <f>Model!J23</f>
        <v>1317</v>
      </c>
      <c r="K10" s="154">
        <f>Model!K23</f>
        <v>1500.7682472618426</v>
      </c>
      <c r="L10" s="154">
        <f>Model!L23</f>
        <v>1702.9959369820849</v>
      </c>
      <c r="M10" s="154">
        <f>Model!M23</f>
        <v>1920.3147158151464</v>
      </c>
      <c r="N10" s="154">
        <f>Model!N23</f>
        <v>2151.6840999664773</v>
      </c>
      <c r="O10" s="154">
        <f>Model!O23</f>
        <v>2395.6330033247755</v>
      </c>
      <c r="P10" s="154">
        <f>Model!P23</f>
        <v>2650.2448742800416</v>
      </c>
      <c r="Q10" s="154">
        <f>Model!Q23</f>
        <v>2913.1564407406026</v>
      </c>
      <c r="R10" s="154">
        <f>Model!R23</f>
        <v>3181.5718489133515</v>
      </c>
    </row>
    <row r="11" spans="1:18" x14ac:dyDescent="0.3">
      <c r="B11" s="81" t="s">
        <v>126</v>
      </c>
      <c r="G11" s="156">
        <f>Model!G24</f>
        <v>0</v>
      </c>
      <c r="H11" s="156">
        <f>Model!H24</f>
        <v>0</v>
      </c>
      <c r="I11" s="156">
        <f>Model!I24</f>
        <v>0.16663221004755022</v>
      </c>
      <c r="J11" s="156">
        <f>Model!J24</f>
        <v>0.16693248272195649</v>
      </c>
      <c r="K11" s="156">
        <f>Model!K24</f>
        <v>0.13953549526335807</v>
      </c>
      <c r="L11" s="156">
        <f>Model!L24</f>
        <v>0.13474944588493762</v>
      </c>
      <c r="M11" s="156">
        <f>Model!M24</f>
        <v>0.12760968720699165</v>
      </c>
      <c r="N11" s="156">
        <f>Model!N24</f>
        <v>0.12048513831917279</v>
      </c>
      <c r="O11" s="156">
        <f>Model!O24</f>
        <v>0.11337579868815259</v>
      </c>
      <c r="P11" s="156">
        <f>Model!P24</f>
        <v>0.10628166776877068</v>
      </c>
      <c r="Q11" s="156">
        <f>Model!Q24</f>
        <v>9.9202745003698162E-2</v>
      </c>
      <c r="R11" s="156">
        <f>Model!R24</f>
        <v>9.2139029823098142E-2</v>
      </c>
    </row>
    <row r="13" spans="1:18" x14ac:dyDescent="0.3">
      <c r="B13" s="33" t="s">
        <v>127</v>
      </c>
      <c r="G13" s="129">
        <f>1-Model!G32</f>
        <v>3.2000000000000028E-2</v>
      </c>
      <c r="H13" s="97">
        <f>1-Model!H32</f>
        <v>2.9000000000000026E-2</v>
      </c>
      <c r="I13" s="97">
        <f>1-Model!I32</f>
        <v>2.9000000000000026E-2</v>
      </c>
      <c r="J13" s="97">
        <f>1-Model!J32</f>
        <v>2.0000000000000018E-2</v>
      </c>
      <c r="K13" s="412">
        <f t="shared" ref="K13:R13" si="1">J13</f>
        <v>2.0000000000000018E-2</v>
      </c>
      <c r="L13" s="412">
        <f t="shared" si="1"/>
        <v>2.0000000000000018E-2</v>
      </c>
      <c r="M13" s="412">
        <f t="shared" si="1"/>
        <v>2.0000000000000018E-2</v>
      </c>
      <c r="N13" s="412">
        <f t="shared" si="1"/>
        <v>2.0000000000000018E-2</v>
      </c>
      <c r="O13" s="412">
        <f t="shared" si="1"/>
        <v>2.0000000000000018E-2</v>
      </c>
      <c r="P13" s="412">
        <f t="shared" si="1"/>
        <v>2.0000000000000018E-2</v>
      </c>
      <c r="Q13" s="412">
        <f t="shared" si="1"/>
        <v>2.0000000000000018E-2</v>
      </c>
      <c r="R13" s="413">
        <f t="shared" si="1"/>
        <v>2.0000000000000018E-2</v>
      </c>
    </row>
    <row r="14" spans="1:18" x14ac:dyDescent="0.3">
      <c r="B14" s="33"/>
    </row>
    <row r="15" spans="1:18" x14ac:dyDescent="0.3">
      <c r="B15" s="33" t="s">
        <v>128</v>
      </c>
      <c r="G15" s="96"/>
      <c r="H15" s="97">
        <f>Model!H35/Model!H34</f>
        <v>8.3455154201640847E-2</v>
      </c>
      <c r="I15" s="97">
        <f>Model!I35/Model!I34</f>
        <v>9.3637859348501301E-2</v>
      </c>
      <c r="J15" s="97">
        <f>Model!J35/Model!J34</f>
        <v>8.4962094537735317E-2</v>
      </c>
      <c r="K15" s="98">
        <f t="shared" ref="K15:R15" si="2">_xlfn.XLOOKUP($D$6,$B16:$B18,K16:K18)</f>
        <v>8.7351702695959155E-2</v>
      </c>
      <c r="L15" s="98">
        <f t="shared" si="2"/>
        <v>8.201574516796499E-2</v>
      </c>
      <c r="M15" s="98">
        <f t="shared" si="2"/>
        <v>7.6679787639970826E-2</v>
      </c>
      <c r="N15" s="98">
        <f t="shared" si="2"/>
        <v>7.1343830111976661E-2</v>
      </c>
      <c r="O15" s="98">
        <f t="shared" si="2"/>
        <v>6.6007872583982496E-2</v>
      </c>
      <c r="P15" s="98">
        <f t="shared" si="2"/>
        <v>6.0671915055988332E-2</v>
      </c>
      <c r="Q15" s="98">
        <f t="shared" si="2"/>
        <v>5.5335957527994167E-2</v>
      </c>
      <c r="R15" s="99">
        <f t="shared" si="2"/>
        <v>0.05</v>
      </c>
    </row>
    <row r="16" spans="1:18" x14ac:dyDescent="0.3">
      <c r="B16" s="86" t="s">
        <v>129</v>
      </c>
      <c r="C16" s="87"/>
      <c r="E16" s="178">
        <v>0.01</v>
      </c>
      <c r="H16" s="34"/>
      <c r="I16" s="34"/>
      <c r="J16" s="34"/>
      <c r="K16" s="100">
        <f t="shared" ref="K16:R16" si="3">K17+$E$16</f>
        <v>9.735170269595915E-2</v>
      </c>
      <c r="L16" s="101">
        <f t="shared" si="3"/>
        <v>9.2015745167964985E-2</v>
      </c>
      <c r="M16" s="101">
        <f t="shared" si="3"/>
        <v>8.6679787639970821E-2</v>
      </c>
      <c r="N16" s="101">
        <f t="shared" si="3"/>
        <v>8.1343830111976656E-2</v>
      </c>
      <c r="O16" s="101">
        <f t="shared" si="3"/>
        <v>7.6007872583982491E-2</v>
      </c>
      <c r="P16" s="101">
        <f t="shared" si="3"/>
        <v>7.0671915055988327E-2</v>
      </c>
      <c r="Q16" s="101">
        <f t="shared" si="3"/>
        <v>6.5335957527994162E-2</v>
      </c>
      <c r="R16" s="102">
        <f t="shared" si="3"/>
        <v>6.0000000000000005E-2</v>
      </c>
    </row>
    <row r="17" spans="1:18" x14ac:dyDescent="0.3">
      <c r="B17" s="86" t="s">
        <v>123</v>
      </c>
      <c r="C17" s="87"/>
      <c r="E17" s="179"/>
      <c r="H17" s="34"/>
      <c r="I17" s="34"/>
      <c r="J17" s="34"/>
      <c r="K17" s="100">
        <f>AVERAGE(H15:J15)</f>
        <v>8.7351702695959155E-2</v>
      </c>
      <c r="L17" s="103">
        <f t="shared" ref="L17:Q17" si="4">K17-($K$17-$R$17)/7</f>
        <v>8.201574516796499E-2</v>
      </c>
      <c r="M17" s="103">
        <f t="shared" si="4"/>
        <v>7.6679787639970826E-2</v>
      </c>
      <c r="N17" s="103">
        <f t="shared" si="4"/>
        <v>7.1343830111976661E-2</v>
      </c>
      <c r="O17" s="103">
        <f t="shared" si="4"/>
        <v>6.6007872583982496E-2</v>
      </c>
      <c r="P17" s="103">
        <f t="shared" si="4"/>
        <v>6.0671915055988332E-2</v>
      </c>
      <c r="Q17" s="103">
        <f t="shared" si="4"/>
        <v>5.5335957527994167E-2</v>
      </c>
      <c r="R17" s="104">
        <v>0.05</v>
      </c>
    </row>
    <row r="18" spans="1:18" x14ac:dyDescent="0.3">
      <c r="B18" s="86" t="s">
        <v>130</v>
      </c>
      <c r="C18" s="87"/>
      <c r="E18" s="180">
        <v>-1.4999999999999999E-2</v>
      </c>
      <c r="H18" s="34"/>
      <c r="I18" s="34"/>
      <c r="J18" s="34"/>
      <c r="K18" s="105">
        <f t="shared" ref="K18:R18" si="5">K17+$E$18</f>
        <v>7.2351702695959155E-2</v>
      </c>
      <c r="L18" s="106">
        <f t="shared" si="5"/>
        <v>6.7015745167964991E-2</v>
      </c>
      <c r="M18" s="106">
        <f t="shared" si="5"/>
        <v>6.1679787639970826E-2</v>
      </c>
      <c r="N18" s="106">
        <f t="shared" si="5"/>
        <v>5.6343830111976662E-2</v>
      </c>
      <c r="O18" s="106">
        <f t="shared" si="5"/>
        <v>5.1007872583982497E-2</v>
      </c>
      <c r="P18" s="106">
        <f t="shared" si="5"/>
        <v>4.5671915055988332E-2</v>
      </c>
      <c r="Q18" s="106">
        <f t="shared" si="5"/>
        <v>4.0335957527994168E-2</v>
      </c>
      <c r="R18" s="107">
        <f t="shared" si="5"/>
        <v>3.5000000000000003E-2</v>
      </c>
    </row>
    <row r="19" spans="1:18" x14ac:dyDescent="0.3">
      <c r="B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</row>
    <row r="20" spans="1:18" x14ac:dyDescent="0.3">
      <c r="B20" s="33" t="s">
        <v>131</v>
      </c>
      <c r="G20" s="181">
        <f>Model!G26</f>
        <v>4906</v>
      </c>
      <c r="H20" s="181">
        <f>Model!H26</f>
        <v>5434</v>
      </c>
      <c r="I20" s="181">
        <f>Model!I26</f>
        <v>5993</v>
      </c>
      <c r="J20" s="181">
        <f>Model!J26</f>
        <v>6393</v>
      </c>
      <c r="K20" s="181">
        <f>Model!K26</f>
        <v>6876</v>
      </c>
      <c r="L20" s="181">
        <f>Model!L26</f>
        <v>7219.7999999999993</v>
      </c>
      <c r="M20" s="181">
        <f>Model!M26</f>
        <v>7570.4759999999997</v>
      </c>
      <c r="N20" s="181">
        <f>Model!N26</f>
        <v>7927.369868571428</v>
      </c>
      <c r="O20" s="181">
        <f>Model!O26</f>
        <v>8289.7639197061217</v>
      </c>
      <c r="P20" s="181">
        <f>Model!P26</f>
        <v>8656.8820361502512</v>
      </c>
      <c r="Q20" s="181">
        <f>Model!Q26</f>
        <v>9027.8912662709754</v>
      </c>
      <c r="R20" s="181">
        <f>Model!R26</f>
        <v>9401.9039044450601</v>
      </c>
    </row>
    <row r="21" spans="1:18" x14ac:dyDescent="0.3">
      <c r="B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</row>
    <row r="22" spans="1:18" x14ac:dyDescent="0.3">
      <c r="B22" s="33" t="s">
        <v>132</v>
      </c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</row>
    <row r="23" spans="1:18" x14ac:dyDescent="0.3">
      <c r="B23" t="s">
        <v>133</v>
      </c>
      <c r="G23" s="122"/>
      <c r="H23" s="108">
        <f>Model!H27/Model!H26</f>
        <v>0.10287081339712918</v>
      </c>
      <c r="I23" s="108">
        <f>Model!I27/Model!I26</f>
        <v>6.6744535291173038E-2</v>
      </c>
      <c r="J23" s="108">
        <f>Model!J27/Model!J26</f>
        <v>7.5551384326607227E-2</v>
      </c>
      <c r="K23" s="109">
        <f t="shared" ref="K23:R23" si="6">_xlfn.XLOOKUP($D$6,$B24:$B26,K24:K26)</f>
        <v>7.0000000000000007E-2</v>
      </c>
      <c r="L23" s="109">
        <f t="shared" si="6"/>
        <v>6.8571428571428575E-2</v>
      </c>
      <c r="M23" s="109">
        <f t="shared" si="6"/>
        <v>6.7142857142857143E-2</v>
      </c>
      <c r="N23" s="109">
        <f t="shared" si="6"/>
        <v>6.5714285714285711E-2</v>
      </c>
      <c r="O23" s="109">
        <f t="shared" si="6"/>
        <v>6.4285714285714279E-2</v>
      </c>
      <c r="P23" s="109">
        <f t="shared" si="6"/>
        <v>6.2857142857142848E-2</v>
      </c>
      <c r="Q23" s="109">
        <f t="shared" si="6"/>
        <v>6.1428571428571416E-2</v>
      </c>
      <c r="R23" s="110">
        <f t="shared" si="6"/>
        <v>0.06</v>
      </c>
    </row>
    <row r="24" spans="1:18" x14ac:dyDescent="0.3">
      <c r="B24" s="86" t="s">
        <v>129</v>
      </c>
      <c r="C24" s="87"/>
      <c r="E24" s="178">
        <v>1.4999999999999999E-2</v>
      </c>
      <c r="G24" s="34"/>
      <c r="H24" s="34"/>
      <c r="I24" s="34"/>
      <c r="J24" s="34"/>
      <c r="K24" s="111">
        <f t="shared" ref="K24:R24" si="7">K25+$E$24</f>
        <v>8.5000000000000006E-2</v>
      </c>
      <c r="L24" s="112">
        <f t="shared" si="7"/>
        <v>8.3571428571428574E-2</v>
      </c>
      <c r="M24" s="112">
        <f t="shared" si="7"/>
        <v>8.2142857142857142E-2</v>
      </c>
      <c r="N24" s="112">
        <f t="shared" si="7"/>
        <v>8.0714285714285711E-2</v>
      </c>
      <c r="O24" s="112">
        <f t="shared" si="7"/>
        <v>7.9285714285714279E-2</v>
      </c>
      <c r="P24" s="112">
        <f t="shared" si="7"/>
        <v>7.7857142857142847E-2</v>
      </c>
      <c r="Q24" s="112">
        <f t="shared" si="7"/>
        <v>7.6428571428571415E-2</v>
      </c>
      <c r="R24" s="113">
        <f t="shared" si="7"/>
        <v>7.4999999999999997E-2</v>
      </c>
    </row>
    <row r="25" spans="1:18" x14ac:dyDescent="0.3">
      <c r="B25" s="86" t="s">
        <v>123</v>
      </c>
      <c r="C25" s="87"/>
      <c r="E25" s="179"/>
      <c r="G25" s="34"/>
      <c r="H25" s="34"/>
      <c r="I25" s="34"/>
      <c r="J25" s="34"/>
      <c r="K25" s="114">
        <v>7.0000000000000007E-2</v>
      </c>
      <c r="L25" s="115">
        <f t="shared" ref="L25:Q25" si="8">K25-($K$25-$R$25)/7</f>
        <v>6.8571428571428575E-2</v>
      </c>
      <c r="M25" s="115">
        <f t="shared" si="8"/>
        <v>6.7142857142857143E-2</v>
      </c>
      <c r="N25" s="115">
        <f t="shared" si="8"/>
        <v>6.5714285714285711E-2</v>
      </c>
      <c r="O25" s="115">
        <f t="shared" si="8"/>
        <v>6.4285714285714279E-2</v>
      </c>
      <c r="P25" s="115">
        <f t="shared" si="8"/>
        <v>6.2857142857142848E-2</v>
      </c>
      <c r="Q25" s="115">
        <f t="shared" si="8"/>
        <v>6.1428571428571416E-2</v>
      </c>
      <c r="R25" s="116">
        <v>0.06</v>
      </c>
    </row>
    <row r="26" spans="1:18" x14ac:dyDescent="0.3">
      <c r="B26" s="86" t="s">
        <v>130</v>
      </c>
      <c r="C26" s="87"/>
      <c r="E26" s="180">
        <v>-0.02</v>
      </c>
      <c r="G26" s="34"/>
      <c r="H26" s="34"/>
      <c r="I26" s="34"/>
      <c r="J26" s="34"/>
      <c r="K26" s="117">
        <f t="shared" ref="K26:R26" si="9">K25+$E$26</f>
        <v>0.05</v>
      </c>
      <c r="L26" s="118">
        <f t="shared" si="9"/>
        <v>4.8571428571428571E-2</v>
      </c>
      <c r="M26" s="118">
        <f t="shared" si="9"/>
        <v>4.7142857142857139E-2</v>
      </c>
      <c r="N26" s="118">
        <f t="shared" si="9"/>
        <v>4.5714285714285707E-2</v>
      </c>
      <c r="O26" s="118">
        <f t="shared" si="9"/>
        <v>4.4285714285714275E-2</v>
      </c>
      <c r="P26" s="118">
        <f t="shared" si="9"/>
        <v>4.2857142857142844E-2</v>
      </c>
      <c r="Q26" s="118">
        <f t="shared" si="9"/>
        <v>4.1428571428571412E-2</v>
      </c>
      <c r="R26" s="119">
        <f t="shared" si="9"/>
        <v>3.9999999999999994E-2</v>
      </c>
    </row>
    <row r="27" spans="1:18" x14ac:dyDescent="0.3">
      <c r="B27" s="33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</row>
    <row r="28" spans="1:18" x14ac:dyDescent="0.3">
      <c r="B28" s="33" t="s">
        <v>134</v>
      </c>
      <c r="G28" s="181">
        <f>Model!G29</f>
        <v>5434</v>
      </c>
      <c r="H28" s="181">
        <f>Model!H29</f>
        <v>5993</v>
      </c>
      <c r="I28" s="181">
        <f>Model!I29</f>
        <v>6393</v>
      </c>
      <c r="J28" s="181">
        <f>Model!J29</f>
        <v>6876</v>
      </c>
      <c r="K28" s="181">
        <f>Model!K29</f>
        <v>7219.7999999999993</v>
      </c>
      <c r="L28" s="181">
        <f>Model!L29</f>
        <v>7570.4759999999997</v>
      </c>
      <c r="M28" s="181">
        <f>Model!M29</f>
        <v>7927.369868571428</v>
      </c>
      <c r="N28" s="181">
        <f>Model!N29</f>
        <v>8289.7639197061217</v>
      </c>
      <c r="O28" s="181">
        <f>Model!O29</f>
        <v>8656.8820361502512</v>
      </c>
      <c r="P28" s="181">
        <f>Model!P29</f>
        <v>9027.8912662709754</v>
      </c>
      <c r="Q28" s="181">
        <f>Model!Q29</f>
        <v>9401.9039044450601</v>
      </c>
      <c r="R28" s="181">
        <f>Model!R29</f>
        <v>9777.9800606228619</v>
      </c>
    </row>
    <row r="29" spans="1:18" x14ac:dyDescent="0.3">
      <c r="B29" s="33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</row>
    <row r="30" spans="1:18" x14ac:dyDescent="0.3">
      <c r="B30" s="33" t="s">
        <v>135</v>
      </c>
      <c r="G30" s="154">
        <f>(Model!G36)/1000</f>
        <v>148.98785425101215</v>
      </c>
      <c r="H30" s="154">
        <f>(Model!H36)/1000</f>
        <v>161.42165860170195</v>
      </c>
      <c r="I30" s="154">
        <f>(Model!I36)/1000</f>
        <v>176.53683716564993</v>
      </c>
      <c r="J30" s="154">
        <f>(Model!J36)/1000</f>
        <v>191.53577661431066</v>
      </c>
      <c r="K30" s="154">
        <f>(Model!K36)/1000</f>
        <v>208.26675282876357</v>
      </c>
      <c r="L30" s="154">
        <f>(Model!L36)/1000</f>
        <v>225.347905755727</v>
      </c>
      <c r="M30" s="154">
        <f>(Model!M36)/1000</f>
        <v>242.62753531418832</v>
      </c>
      <c r="N30" s="154">
        <f>(Model!N36)/1000</f>
        <v>259.93751297413138</v>
      </c>
      <c r="O30" s="154">
        <f>(Model!O36)/1000</f>
        <v>277.09543521032515</v>
      </c>
      <c r="P30" s="154">
        <f>(Model!P36)/1000</f>
        <v>293.90734591780813</v>
      </c>
      <c r="Q30" s="154">
        <f>(Model!Q36)/1000</f>
        <v>310.1709903286814</v>
      </c>
      <c r="R30" s="154">
        <f>(Model!R36)/1000</f>
        <v>325.67953984511553</v>
      </c>
    </row>
    <row r="31" spans="1:18" x14ac:dyDescent="0.3"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</row>
    <row r="32" spans="1:18" ht="15.6" x14ac:dyDescent="0.3">
      <c r="A32" s="34" t="s">
        <v>120</v>
      </c>
      <c r="B32" s="35" t="s">
        <v>136</v>
      </c>
      <c r="C32" s="35"/>
      <c r="D32" s="35"/>
      <c r="E32" s="36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</row>
    <row r="33" spans="1:18" x14ac:dyDescent="0.3"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</row>
    <row r="34" spans="1:18" x14ac:dyDescent="0.3">
      <c r="B34" s="33" t="s">
        <v>137</v>
      </c>
      <c r="G34" s="154">
        <f>Model!G40</f>
        <v>41.099999999999994</v>
      </c>
      <c r="H34" s="154">
        <f>Model!H40</f>
        <v>80.2</v>
      </c>
      <c r="I34" s="154">
        <f>Model!I40</f>
        <v>168.7</v>
      </c>
      <c r="J34" s="154">
        <f>Model!J40</f>
        <v>200.3</v>
      </c>
      <c r="K34" s="154">
        <f>Model!K40</f>
        <v>196.86599281379659</v>
      </c>
      <c r="L34" s="154">
        <f>Model!L40</f>
        <v>222.9037979154441</v>
      </c>
      <c r="M34" s="154">
        <f>Model!M40</f>
        <v>250.9910243455646</v>
      </c>
      <c r="N34" s="154">
        <f>Model!N40</f>
        <v>281.18951728239688</v>
      </c>
      <c r="O34" s="154">
        <f>Model!O40</f>
        <v>313.55407380592624</v>
      </c>
      <c r="P34" s="154">
        <f>Model!P40</f>
        <v>348.13152935957254</v>
      </c>
      <c r="Q34" s="154">
        <f>Model!Q40</f>
        <v>384.95984919737759</v>
      </c>
      <c r="R34" s="154">
        <f>Model!R40</f>
        <v>424.06723446765176</v>
      </c>
    </row>
    <row r="35" spans="1:18" x14ac:dyDescent="0.3">
      <c r="B35" s="81" t="s">
        <v>126</v>
      </c>
      <c r="F35" s="34"/>
      <c r="G35" s="156">
        <f>Model!G45</f>
        <v>0</v>
      </c>
      <c r="H35" s="156">
        <f>Model!H45</f>
        <v>0.95133819951338239</v>
      </c>
      <c r="I35" s="156">
        <f>Model!I45</f>
        <v>1.1034912718204486</v>
      </c>
      <c r="J35" s="156">
        <f>Model!J45</f>
        <v>0.18731475992886795</v>
      </c>
      <c r="K35" s="156">
        <f>Model!K45</f>
        <v>-1.7144319451839321E-2</v>
      </c>
      <c r="L35" s="156">
        <f>Model!L45</f>
        <v>0.13226156904750463</v>
      </c>
      <c r="M35" s="156">
        <f>Model!M45</f>
        <v>0.12600604697087778</v>
      </c>
      <c r="N35" s="156">
        <f>Model!N45</f>
        <v>0.12031702335002617</v>
      </c>
      <c r="O35" s="156">
        <f>Model!O45</f>
        <v>0.11509873069352666</v>
      </c>
      <c r="P35" s="156">
        <f>Model!P45</f>
        <v>0.11027589319425637</v>
      </c>
      <c r="Q35" s="156">
        <f>Model!Q45</f>
        <v>0.1057885216704012</v>
      </c>
      <c r="R35" s="156">
        <f>Model!R45</f>
        <v>0.10158821849034684</v>
      </c>
    </row>
    <row r="36" spans="1:18" x14ac:dyDescent="0.3">
      <c r="B36" s="56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</row>
    <row r="37" spans="1:18" x14ac:dyDescent="0.3">
      <c r="B37" s="56" t="s">
        <v>138</v>
      </c>
      <c r="G37" s="123">
        <f>Model!G43</f>
        <v>0.75232108317214696</v>
      </c>
      <c r="H37" s="124">
        <f>Model!H43</f>
        <v>0.76497768443160929</v>
      </c>
      <c r="I37" s="124">
        <f>Model!I43</f>
        <v>0.72662683675117068</v>
      </c>
      <c r="J37" s="124">
        <f>Model!J43</f>
        <v>0.73554902404099787</v>
      </c>
      <c r="K37" s="125">
        <f t="shared" ref="K37:R37" si="10">_xlfn.XLOOKUP($D$6,$B38:$B40,K38:K40)</f>
        <v>0.7448686570989812</v>
      </c>
      <c r="L37" s="125">
        <f t="shared" si="10"/>
        <v>0.79560170608484104</v>
      </c>
      <c r="M37" s="125">
        <f t="shared" si="10"/>
        <v>0.84633475507070088</v>
      </c>
      <c r="N37" s="125">
        <f t="shared" si="10"/>
        <v>0.89706780405656072</v>
      </c>
      <c r="O37" s="125">
        <f t="shared" si="10"/>
        <v>0.94780085304242057</v>
      </c>
      <c r="P37" s="125">
        <f t="shared" si="10"/>
        <v>0.99853390202828041</v>
      </c>
      <c r="Q37" s="125">
        <f t="shared" si="10"/>
        <v>1.0492669510141401</v>
      </c>
      <c r="R37" s="126">
        <f t="shared" si="10"/>
        <v>1.1000000000000001</v>
      </c>
    </row>
    <row r="38" spans="1:18" x14ac:dyDescent="0.3">
      <c r="B38" s="86" t="s">
        <v>129</v>
      </c>
      <c r="C38" s="87"/>
      <c r="E38" s="175">
        <v>0.15</v>
      </c>
      <c r="G38" s="34"/>
      <c r="H38" s="34"/>
      <c r="I38" s="34"/>
      <c r="J38" s="34"/>
      <c r="K38" s="137">
        <f t="shared" ref="K38:R38" si="11">K39+$E$38</f>
        <v>0.89486865709898122</v>
      </c>
      <c r="L38" s="139">
        <f t="shared" si="11"/>
        <v>0.94560170608484106</v>
      </c>
      <c r="M38" s="139">
        <f t="shared" si="11"/>
        <v>0.99633475507070091</v>
      </c>
      <c r="N38" s="139">
        <f t="shared" si="11"/>
        <v>1.0470678040565606</v>
      </c>
      <c r="O38" s="139">
        <f t="shared" si="11"/>
        <v>1.0978008530424206</v>
      </c>
      <c r="P38" s="139">
        <f t="shared" si="11"/>
        <v>1.1485339020282803</v>
      </c>
      <c r="Q38" s="139">
        <f t="shared" si="11"/>
        <v>1.19926695101414</v>
      </c>
      <c r="R38" s="140">
        <f t="shared" si="11"/>
        <v>1.25</v>
      </c>
    </row>
    <row r="39" spans="1:18" x14ac:dyDescent="0.3">
      <c r="B39" s="86" t="s">
        <v>123</v>
      </c>
      <c r="C39" s="87"/>
      <c r="E39" s="176"/>
      <c r="G39" s="34"/>
      <c r="H39" s="34"/>
      <c r="I39" s="34"/>
      <c r="J39" s="34"/>
      <c r="K39" s="127">
        <f>AVERAGE(G37:J37)</f>
        <v>0.7448686570989812</v>
      </c>
      <c r="L39" s="128">
        <f t="shared" ref="L39:Q39" si="12">K39+($R$39-$K$39)/7</f>
        <v>0.79560170608484104</v>
      </c>
      <c r="M39" s="128">
        <f t="shared" si="12"/>
        <v>0.84633475507070088</v>
      </c>
      <c r="N39" s="128">
        <f t="shared" si="12"/>
        <v>0.89706780405656072</v>
      </c>
      <c r="O39" s="128">
        <f t="shared" si="12"/>
        <v>0.94780085304242057</v>
      </c>
      <c r="P39" s="128">
        <f t="shared" si="12"/>
        <v>0.99853390202828041</v>
      </c>
      <c r="Q39" s="128">
        <f t="shared" si="12"/>
        <v>1.0492669510141401</v>
      </c>
      <c r="R39" s="136">
        <v>1.1000000000000001</v>
      </c>
    </row>
    <row r="40" spans="1:18" x14ac:dyDescent="0.3">
      <c r="B40" s="86" t="s">
        <v>130</v>
      </c>
      <c r="C40" s="87"/>
      <c r="E40" s="177">
        <v>-0.1</v>
      </c>
      <c r="G40" s="34"/>
      <c r="H40" s="34"/>
      <c r="I40" s="34"/>
      <c r="J40" s="34"/>
      <c r="K40" s="138">
        <f t="shared" ref="K40:R40" si="13">K39+$E$40</f>
        <v>0.64486865709898122</v>
      </c>
      <c r="L40" s="141">
        <f t="shared" si="13"/>
        <v>0.69560170608484106</v>
      </c>
      <c r="M40" s="141">
        <f t="shared" si="13"/>
        <v>0.74633475507070091</v>
      </c>
      <c r="N40" s="141">
        <f t="shared" si="13"/>
        <v>0.79706780405656075</v>
      </c>
      <c r="O40" s="141">
        <f t="shared" si="13"/>
        <v>0.84780085304242059</v>
      </c>
      <c r="P40" s="141">
        <f t="shared" si="13"/>
        <v>0.89853390202828043</v>
      </c>
      <c r="Q40" s="141">
        <f t="shared" si="13"/>
        <v>0.94926695101414016</v>
      </c>
      <c r="R40" s="142">
        <f t="shared" si="13"/>
        <v>1</v>
      </c>
    </row>
    <row r="41" spans="1:18" x14ac:dyDescent="0.3">
      <c r="B41" s="56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</row>
    <row r="42" spans="1:18" x14ac:dyDescent="0.3">
      <c r="B42" s="56" t="s">
        <v>139</v>
      </c>
      <c r="G42" s="129">
        <f>Model!G44</f>
        <v>1.0566910913999228E-2</v>
      </c>
      <c r="H42" s="97">
        <f>Model!H44</f>
        <v>1.8349463472670285E-2</v>
      </c>
      <c r="I42" s="97">
        <f>Model!I44</f>
        <v>3.7488888888888884E-2</v>
      </c>
      <c r="J42" s="97">
        <f>Model!J44</f>
        <v>4.1045081967213119E-2</v>
      </c>
      <c r="K42" s="130">
        <f t="shared" ref="K42:R42" si="14">_xlfn.XLOOKUP($D$6,$B43:$B45,K43:K45)</f>
        <v>3.7499999999999999E-2</v>
      </c>
      <c r="L42" s="130">
        <f t="shared" si="14"/>
        <v>3.7885714285714286E-2</v>
      </c>
      <c r="M42" s="130">
        <f t="shared" si="14"/>
        <v>3.8271428571428574E-2</v>
      </c>
      <c r="N42" s="130">
        <f t="shared" si="14"/>
        <v>3.8657142857142862E-2</v>
      </c>
      <c r="O42" s="130">
        <f t="shared" si="14"/>
        <v>3.904285714285715E-2</v>
      </c>
      <c r="P42" s="130">
        <f t="shared" si="14"/>
        <v>3.9428571428571438E-2</v>
      </c>
      <c r="Q42" s="130">
        <f t="shared" si="14"/>
        <v>3.9814285714285726E-2</v>
      </c>
      <c r="R42" s="131">
        <f t="shared" si="14"/>
        <v>4.02E-2</v>
      </c>
    </row>
    <row r="43" spans="1:18" x14ac:dyDescent="0.3">
      <c r="B43" s="86" t="s">
        <v>129</v>
      </c>
      <c r="C43" s="87"/>
      <c r="E43" s="178">
        <v>-5.0000000000000001E-3</v>
      </c>
      <c r="G43" s="34"/>
      <c r="H43" s="34"/>
      <c r="I43" s="34"/>
      <c r="J43" s="34"/>
      <c r="K43" s="143">
        <f>K44</f>
        <v>3.7499999999999999E-2</v>
      </c>
      <c r="L43" s="112">
        <f t="shared" ref="L43:R43" si="15">L44+E43</f>
        <v>3.2885714285714289E-2</v>
      </c>
      <c r="M43" s="112">
        <f t="shared" si="15"/>
        <v>3.8271428571428574E-2</v>
      </c>
      <c r="N43" s="112">
        <f t="shared" si="15"/>
        <v>3.8657142857142862E-2</v>
      </c>
      <c r="O43" s="112">
        <f t="shared" si="15"/>
        <v>3.904285714285715E-2</v>
      </c>
      <c r="P43" s="112">
        <f t="shared" si="15"/>
        <v>3.9428571428571438E-2</v>
      </c>
      <c r="Q43" s="112">
        <f t="shared" si="15"/>
        <v>3.9814285714285726E-2</v>
      </c>
      <c r="R43" s="148">
        <f t="shared" si="15"/>
        <v>7.7699999999999991E-2</v>
      </c>
    </row>
    <row r="44" spans="1:18" x14ac:dyDescent="0.3">
      <c r="B44" s="86" t="s">
        <v>123</v>
      </c>
      <c r="C44" s="87"/>
      <c r="E44" s="179"/>
      <c r="G44" s="34"/>
      <c r="H44" s="34"/>
      <c r="I44" s="34"/>
      <c r="J44" s="34"/>
      <c r="K44" s="132">
        <v>3.7499999999999999E-2</v>
      </c>
      <c r="L44" s="133">
        <f t="shared" ref="L44:Q44" si="16">K44+($R$44-$K$44)/7</f>
        <v>3.7885714285714286E-2</v>
      </c>
      <c r="M44" s="133">
        <f t="shared" si="16"/>
        <v>3.8271428571428574E-2</v>
      </c>
      <c r="N44" s="133">
        <f t="shared" si="16"/>
        <v>3.8657142857142862E-2</v>
      </c>
      <c r="O44" s="133">
        <f t="shared" si="16"/>
        <v>3.904285714285715E-2</v>
      </c>
      <c r="P44" s="133">
        <f t="shared" si="16"/>
        <v>3.9428571428571438E-2</v>
      </c>
      <c r="Q44" s="133">
        <f t="shared" si="16"/>
        <v>3.9814285714285726E-2</v>
      </c>
      <c r="R44" s="134">
        <v>4.02E-2</v>
      </c>
    </row>
    <row r="45" spans="1:18" x14ac:dyDescent="0.3">
      <c r="B45" s="86" t="s">
        <v>130</v>
      </c>
      <c r="C45" s="87"/>
      <c r="E45" s="180">
        <v>5.0000000000000001E-3</v>
      </c>
      <c r="G45" s="34"/>
      <c r="H45" s="34"/>
      <c r="I45" s="34"/>
      <c r="J45" s="34"/>
      <c r="K45" s="144">
        <f>K44</f>
        <v>3.7499999999999999E-2</v>
      </c>
      <c r="L45" s="145">
        <f t="shared" ref="L45:R45" si="17">L44+$E$45</f>
        <v>4.2885714285714284E-2</v>
      </c>
      <c r="M45" s="149">
        <f t="shared" si="17"/>
        <v>4.3271428571428572E-2</v>
      </c>
      <c r="N45" s="149">
        <f t="shared" si="17"/>
        <v>4.365714285714286E-2</v>
      </c>
      <c r="O45" s="149">
        <f t="shared" si="17"/>
        <v>4.4042857142857147E-2</v>
      </c>
      <c r="P45" s="149">
        <f t="shared" si="17"/>
        <v>4.4428571428571435E-2</v>
      </c>
      <c r="Q45" s="149">
        <f t="shared" si="17"/>
        <v>4.4814285714285723E-2</v>
      </c>
      <c r="R45" s="150">
        <f t="shared" si="17"/>
        <v>4.5199999999999997E-2</v>
      </c>
    </row>
    <row r="46" spans="1:18" x14ac:dyDescent="0.3"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</row>
    <row r="47" spans="1:18" ht="15.6" x14ac:dyDescent="0.3">
      <c r="A47" s="34" t="s">
        <v>120</v>
      </c>
      <c r="B47" s="35" t="s">
        <v>140</v>
      </c>
      <c r="C47" s="35"/>
      <c r="D47" s="35"/>
      <c r="E47" s="36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</row>
    <row r="48" spans="1:18" x14ac:dyDescent="0.3"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</row>
    <row r="49" spans="1:18" x14ac:dyDescent="0.3">
      <c r="B49" s="56" t="s">
        <v>141</v>
      </c>
      <c r="G49" s="129">
        <f>Model!G48</f>
        <v>0.21430335968379446</v>
      </c>
      <c r="H49" s="97">
        <f>Model!H48</f>
        <v>0.20529253669629938</v>
      </c>
      <c r="I49" s="97">
        <f>Model!I48</f>
        <v>0.19174198121566544</v>
      </c>
      <c r="J49" s="97">
        <f>Model!J48</f>
        <v>0.18428246013667426</v>
      </c>
      <c r="K49" s="98">
        <f t="shared" ref="K49:Q49" si="18">J49-($J$49-$R$49)/8</f>
        <v>0.18187215261958997</v>
      </c>
      <c r="L49" s="98">
        <f t="shared" si="18"/>
        <v>0.17946184510250568</v>
      </c>
      <c r="M49" s="98">
        <f t="shared" si="18"/>
        <v>0.17705153758542139</v>
      </c>
      <c r="N49" s="98">
        <f t="shared" si="18"/>
        <v>0.17464123006833709</v>
      </c>
      <c r="O49" s="98">
        <f t="shared" si="18"/>
        <v>0.1722309225512528</v>
      </c>
      <c r="P49" s="98">
        <f t="shared" si="18"/>
        <v>0.16982061503416851</v>
      </c>
      <c r="Q49" s="98">
        <f t="shared" si="18"/>
        <v>0.16741030751708422</v>
      </c>
      <c r="R49" s="153">
        <v>0.16500000000000001</v>
      </c>
    </row>
    <row r="50" spans="1:18" x14ac:dyDescent="0.3"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</row>
    <row r="51" spans="1:18" ht="15.6" x14ac:dyDescent="0.3">
      <c r="A51" s="34" t="s">
        <v>120</v>
      </c>
      <c r="B51" s="84" t="s">
        <v>142</v>
      </c>
      <c r="C51" s="84"/>
      <c r="D51" s="84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</row>
    <row r="52" spans="1:18" x14ac:dyDescent="0.3"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</row>
    <row r="53" spans="1:18" x14ac:dyDescent="0.3">
      <c r="B53" s="92" t="s">
        <v>143</v>
      </c>
      <c r="G53" s="166">
        <f>-Model!G62/Model!G56</f>
        <v>0.3084518631715058</v>
      </c>
      <c r="H53" s="167">
        <f>-Model!H62/Model!H56</f>
        <v>0.29534173348606341</v>
      </c>
      <c r="I53" s="167">
        <f>-Model!I62/Model!I56</f>
        <v>0.25044322824327447</v>
      </c>
      <c r="J53" s="167">
        <f>-Model!J62/Model!J56</f>
        <v>0.2324523825215844</v>
      </c>
      <c r="K53" s="168" cm="1">
        <f t="array" ref="K53">_xlfn.XLOOKUP($D$6,B54:$B$56,K54:K56)</f>
        <v>0.2324523825215844</v>
      </c>
      <c r="L53" s="168" cm="1">
        <f t="array" ref="L53">_xlfn.XLOOKUP($D$6,$B54:B$56,L54:L56)</f>
        <v>0.22996825501438961</v>
      </c>
      <c r="M53" s="168" cm="1">
        <f t="array" ref="M53">_xlfn.XLOOKUP($D$6,$B54:B$56,M54:M56)</f>
        <v>0.22748412750719482</v>
      </c>
      <c r="N53" s="168">
        <f>_xlfn.XLOOKUP($D$6,$B$54:$B$56,N54:N56)</f>
        <v>0.22500000000000001</v>
      </c>
      <c r="O53" s="168">
        <f>_xlfn.XLOOKUP($D$6,$B$54:$B$56,O54:O56)</f>
        <v>0.22375</v>
      </c>
      <c r="P53" s="168">
        <f>_xlfn.XLOOKUP($D$6,$B$54:$B$56,P54:P56)</f>
        <v>0.2225</v>
      </c>
      <c r="Q53" s="168">
        <f>_xlfn.XLOOKUP($D$6,$B$54:$B$56,Q54:Q56)</f>
        <v>0.22125</v>
      </c>
      <c r="R53" s="169">
        <f>_xlfn.XLOOKUP($D$6,$B$54:$B$56,R54:R56)</f>
        <v>0.22</v>
      </c>
    </row>
    <row r="54" spans="1:18" x14ac:dyDescent="0.3">
      <c r="B54" s="86" t="s">
        <v>129</v>
      </c>
      <c r="C54" s="87"/>
      <c r="E54" s="178">
        <v>-5.0000000000000001E-3</v>
      </c>
      <c r="G54" s="34"/>
      <c r="H54" s="34"/>
      <c r="I54" s="34"/>
      <c r="J54" s="34"/>
      <c r="K54" s="111">
        <f t="shared" ref="K54:R54" si="19">K55+$E$54</f>
        <v>0.2274523825215844</v>
      </c>
      <c r="L54" s="112">
        <f t="shared" si="19"/>
        <v>0.22496825501438961</v>
      </c>
      <c r="M54" s="112">
        <f t="shared" si="19"/>
        <v>0.22248412750719482</v>
      </c>
      <c r="N54" s="112">
        <f t="shared" si="19"/>
        <v>0.22</v>
      </c>
      <c r="O54" s="112">
        <f t="shared" si="19"/>
        <v>0.21875</v>
      </c>
      <c r="P54" s="112">
        <f t="shared" si="19"/>
        <v>0.2175</v>
      </c>
      <c r="Q54" s="112">
        <f t="shared" si="19"/>
        <v>0.21625</v>
      </c>
      <c r="R54" s="113">
        <f t="shared" si="19"/>
        <v>0.215</v>
      </c>
    </row>
    <row r="55" spans="1:18" x14ac:dyDescent="0.3">
      <c r="B55" s="86" t="s">
        <v>123</v>
      </c>
      <c r="C55" s="87"/>
      <c r="E55" s="179"/>
      <c r="G55" s="34"/>
      <c r="H55" s="34"/>
      <c r="I55" s="34"/>
      <c r="J55" s="34"/>
      <c r="K55" s="163">
        <f>J53</f>
        <v>0.2324523825215844</v>
      </c>
      <c r="L55" s="115">
        <f>K55-($K$55-$N$55)/3</f>
        <v>0.22996825501438961</v>
      </c>
      <c r="M55" s="115">
        <f>L55-($K$55-$N$55)/3</f>
        <v>0.22748412750719482</v>
      </c>
      <c r="N55" s="115">
        <v>0.22500000000000001</v>
      </c>
      <c r="O55" s="115">
        <f>N55-($N$55-$R$55)/4</f>
        <v>0.22375</v>
      </c>
      <c r="P55" s="115">
        <f>O55-($N$55-$R$55)/4</f>
        <v>0.2225</v>
      </c>
      <c r="Q55" s="115">
        <f>P55-($N$55-$R$55)/4</f>
        <v>0.22125</v>
      </c>
      <c r="R55" s="116">
        <v>0.22</v>
      </c>
    </row>
    <row r="56" spans="1:18" x14ac:dyDescent="0.3">
      <c r="B56" s="86" t="s">
        <v>130</v>
      </c>
      <c r="C56" s="87"/>
      <c r="E56" s="180">
        <v>5.0000000000000001E-3</v>
      </c>
      <c r="G56" s="34"/>
      <c r="H56" s="34"/>
      <c r="I56" s="34"/>
      <c r="J56" s="34"/>
      <c r="K56" s="117">
        <f t="shared" ref="K56:R56" si="20">K55+$E$56</f>
        <v>0.2374523825215844</v>
      </c>
      <c r="L56" s="118">
        <f t="shared" si="20"/>
        <v>0.23496825501438962</v>
      </c>
      <c r="M56" s="118">
        <f t="shared" si="20"/>
        <v>0.23248412750719483</v>
      </c>
      <c r="N56" s="118">
        <f t="shared" si="20"/>
        <v>0.23</v>
      </c>
      <c r="O56" s="118">
        <f t="shared" si="20"/>
        <v>0.22875000000000001</v>
      </c>
      <c r="P56" s="118">
        <f t="shared" si="20"/>
        <v>0.22750000000000001</v>
      </c>
      <c r="Q56" s="118">
        <f t="shared" si="20"/>
        <v>0.22625000000000001</v>
      </c>
      <c r="R56" s="119">
        <f t="shared" si="20"/>
        <v>0.22500000000000001</v>
      </c>
    </row>
    <row r="57" spans="1:18" x14ac:dyDescent="0.3"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</row>
    <row r="58" spans="1:18" x14ac:dyDescent="0.3">
      <c r="B58" s="88" t="s">
        <v>144</v>
      </c>
      <c r="G58" s="120">
        <f>-Model!G63/Model!G59</f>
        <v>1.1216138328530258</v>
      </c>
      <c r="H58" s="121">
        <f>-Model!H63/Model!H59</f>
        <v>1.201913393756294</v>
      </c>
      <c r="I58" s="121">
        <f>-Model!I63/Model!I59</f>
        <v>1.2273567467652495</v>
      </c>
      <c r="J58" s="121">
        <f>-Model!J63/Model!J59</f>
        <v>1.1990111248454882</v>
      </c>
      <c r="K58" s="151">
        <f t="shared" ref="K58:R58" si="21">_xlfn.XLOOKUP($D$6,$B$59:$B$61,K59:K61)</f>
        <v>1.1990111248454882</v>
      </c>
      <c r="L58" s="151">
        <f t="shared" si="21"/>
        <v>1.1777238212961327</v>
      </c>
      <c r="M58" s="151">
        <f t="shared" si="21"/>
        <v>1.1564365177467772</v>
      </c>
      <c r="N58" s="151">
        <f t="shared" si="21"/>
        <v>1.1351492141974218</v>
      </c>
      <c r="O58" s="151">
        <f t="shared" si="21"/>
        <v>1.1138619106480663</v>
      </c>
      <c r="P58" s="151">
        <f t="shared" si="21"/>
        <v>1.0925746070987108</v>
      </c>
      <c r="Q58" s="151">
        <f t="shared" si="21"/>
        <v>1.0712873035493553</v>
      </c>
      <c r="R58" s="152">
        <f t="shared" si="21"/>
        <v>1.05</v>
      </c>
    </row>
    <row r="59" spans="1:18" x14ac:dyDescent="0.3">
      <c r="B59" s="86" t="s">
        <v>129</v>
      </c>
      <c r="C59" s="87"/>
      <c r="E59" s="89">
        <v>-7.4999999999999997E-2</v>
      </c>
      <c r="G59" s="34"/>
      <c r="H59" s="34"/>
      <c r="I59" s="34"/>
      <c r="J59" s="34"/>
      <c r="K59" s="157">
        <f>K60</f>
        <v>1.1990111248454882</v>
      </c>
      <c r="L59" s="146">
        <f t="shared" ref="L59:R59" si="22">L60+$E$59</f>
        <v>1.1027238212961328</v>
      </c>
      <c r="M59" s="146">
        <f t="shared" si="22"/>
        <v>1.0814365177467773</v>
      </c>
      <c r="N59" s="146">
        <f t="shared" si="22"/>
        <v>1.0601492141974218</v>
      </c>
      <c r="O59" s="146">
        <f t="shared" si="22"/>
        <v>1.0388619106480663</v>
      </c>
      <c r="P59" s="146">
        <f t="shared" si="22"/>
        <v>1.0175746070987108</v>
      </c>
      <c r="Q59" s="146">
        <f t="shared" si="22"/>
        <v>0.99628730354935535</v>
      </c>
      <c r="R59" s="158">
        <f t="shared" si="22"/>
        <v>0.97500000000000009</v>
      </c>
    </row>
    <row r="60" spans="1:18" x14ac:dyDescent="0.3">
      <c r="B60" s="86" t="s">
        <v>123</v>
      </c>
      <c r="C60" s="87"/>
      <c r="E60" s="90"/>
      <c r="G60" s="34"/>
      <c r="H60" s="34"/>
      <c r="I60" s="34"/>
      <c r="J60" s="34"/>
      <c r="K60" s="159">
        <f>J58</f>
        <v>1.1990111248454882</v>
      </c>
      <c r="L60" s="170">
        <f t="shared" ref="L60:Q60" si="23">K60-($K$60-$R$60)/7</f>
        <v>1.1777238212961327</v>
      </c>
      <c r="M60" s="170">
        <f t="shared" si="23"/>
        <v>1.1564365177467772</v>
      </c>
      <c r="N60" s="170">
        <f t="shared" si="23"/>
        <v>1.1351492141974218</v>
      </c>
      <c r="O60" s="170">
        <f t="shared" si="23"/>
        <v>1.1138619106480663</v>
      </c>
      <c r="P60" s="170">
        <f t="shared" si="23"/>
        <v>1.0925746070987108</v>
      </c>
      <c r="Q60" s="170">
        <f t="shared" si="23"/>
        <v>1.0712873035493553</v>
      </c>
      <c r="R60" s="234">
        <v>1.05</v>
      </c>
    </row>
    <row r="61" spans="1:18" x14ac:dyDescent="0.3">
      <c r="B61" s="86" t="s">
        <v>130</v>
      </c>
      <c r="C61" s="87"/>
      <c r="E61" s="91">
        <v>0.05</v>
      </c>
      <c r="G61" s="34"/>
      <c r="H61" s="34"/>
      <c r="I61" s="34"/>
      <c r="J61" s="34"/>
      <c r="K61" s="160">
        <f>K60</f>
        <v>1.1990111248454882</v>
      </c>
      <c r="L61" s="161">
        <f t="shared" ref="L61:R61" si="24">L60+$E$61</f>
        <v>1.2277238212961328</v>
      </c>
      <c r="M61" s="161">
        <f t="shared" si="24"/>
        <v>1.2064365177467773</v>
      </c>
      <c r="N61" s="161">
        <f t="shared" si="24"/>
        <v>1.1851492141974218</v>
      </c>
      <c r="O61" s="161">
        <f t="shared" si="24"/>
        <v>1.1638619106480663</v>
      </c>
      <c r="P61" s="161">
        <f t="shared" si="24"/>
        <v>1.1425746070987108</v>
      </c>
      <c r="Q61" s="161">
        <f t="shared" si="24"/>
        <v>1.1212873035493554</v>
      </c>
      <c r="R61" s="162">
        <f t="shared" si="24"/>
        <v>1.1000000000000001</v>
      </c>
    </row>
    <row r="62" spans="1:18" x14ac:dyDescent="0.3">
      <c r="G62" s="34"/>
      <c r="H62" s="34"/>
      <c r="I62" s="34"/>
      <c r="J62" s="34"/>
      <c r="K62" s="170"/>
      <c r="L62" s="170"/>
      <c r="M62" s="170"/>
      <c r="N62" s="170"/>
      <c r="O62" s="170"/>
      <c r="P62" s="170"/>
      <c r="Q62" s="170"/>
      <c r="R62" s="170"/>
    </row>
    <row r="63" spans="1:18" x14ac:dyDescent="0.3">
      <c r="B63" s="88" t="s">
        <v>145</v>
      </c>
      <c r="G63" s="129">
        <f>-Model!G64/Model!G56</f>
        <v>0.15751733866227813</v>
      </c>
      <c r="H63" s="97">
        <f>-Model!H64/Model!H56</f>
        <v>0.162180221458572</v>
      </c>
      <c r="I63" s="97">
        <f>-Model!I64/Model!I56</f>
        <v>0.16179757958837587</v>
      </c>
      <c r="J63" s="97">
        <f>-Model!J64/Model!J56</f>
        <v>0.14749884663547091</v>
      </c>
      <c r="K63" s="98">
        <f t="shared" ref="K63:R63" si="25">_xlfn.XLOOKUP($D$6, $B$64:$B$66,K64:K66)</f>
        <v>0.15715888256080626</v>
      </c>
      <c r="L63" s="98">
        <f t="shared" si="25"/>
        <v>0.16477258837387085</v>
      </c>
      <c r="M63" s="98">
        <f t="shared" si="25"/>
        <v>0.17238629418693543</v>
      </c>
      <c r="N63" s="98">
        <f t="shared" si="25"/>
        <v>0.18</v>
      </c>
      <c r="O63" s="98">
        <f t="shared" si="25"/>
        <v>0.17249999999999999</v>
      </c>
      <c r="P63" s="98">
        <f t="shared" si="25"/>
        <v>0.16499999999999998</v>
      </c>
      <c r="Q63" s="98">
        <f t="shared" si="25"/>
        <v>0.15749999999999997</v>
      </c>
      <c r="R63" s="99">
        <f t="shared" si="25"/>
        <v>0.15</v>
      </c>
    </row>
    <row r="64" spans="1:18" x14ac:dyDescent="0.3">
      <c r="B64" s="86" t="s">
        <v>129</v>
      </c>
      <c r="C64" s="87"/>
      <c r="E64" s="89">
        <v>-0.01</v>
      </c>
      <c r="G64" s="34"/>
      <c r="H64" s="34"/>
      <c r="I64" s="34"/>
      <c r="J64" s="34"/>
      <c r="K64" s="164">
        <f t="shared" ref="K64:R64" si="26">K65+$E$64</f>
        <v>0.14715888256080625</v>
      </c>
      <c r="L64" s="147">
        <f t="shared" si="26"/>
        <v>0.15477258837387084</v>
      </c>
      <c r="M64" s="147">
        <f t="shared" si="26"/>
        <v>0.16238629418693543</v>
      </c>
      <c r="N64" s="147">
        <f t="shared" si="26"/>
        <v>0.16999999999999998</v>
      </c>
      <c r="O64" s="147">
        <f t="shared" si="26"/>
        <v>0.16249999999999998</v>
      </c>
      <c r="P64" s="147">
        <f t="shared" si="26"/>
        <v>0.15499999999999997</v>
      </c>
      <c r="Q64" s="147">
        <f t="shared" si="26"/>
        <v>0.14749999999999996</v>
      </c>
      <c r="R64" s="165">
        <f t="shared" si="26"/>
        <v>0.13999999999999999</v>
      </c>
    </row>
    <row r="65" spans="2:18" x14ac:dyDescent="0.3">
      <c r="B65" s="86" t="s">
        <v>123</v>
      </c>
      <c r="C65" s="87"/>
      <c r="E65" s="90"/>
      <c r="G65" s="34"/>
      <c r="I65" s="221"/>
      <c r="J65" s="34"/>
      <c r="K65" s="100">
        <f>AVERAGE(H63:J63)</f>
        <v>0.15715888256080626</v>
      </c>
      <c r="L65" s="171">
        <f>K65+($N$65-$K$65)/3</f>
        <v>0.16477258837387085</v>
      </c>
      <c r="M65" s="171">
        <f>L65+($N$65-$K$65)/3</f>
        <v>0.17238629418693543</v>
      </c>
      <c r="N65" s="172">
        <v>0.18</v>
      </c>
      <c r="O65" s="171">
        <f>N65+($R$65-$N$65)/4</f>
        <v>0.17249999999999999</v>
      </c>
      <c r="P65" s="171">
        <f>O65+($R$65-$N$65)/4</f>
        <v>0.16499999999999998</v>
      </c>
      <c r="Q65" s="171">
        <f>P65+($R$65-$N$65)/4</f>
        <v>0.15749999999999997</v>
      </c>
      <c r="R65" s="173">
        <v>0.15</v>
      </c>
    </row>
    <row r="66" spans="2:18" x14ac:dyDescent="0.3">
      <c r="B66" s="86" t="s">
        <v>130</v>
      </c>
      <c r="C66" s="87"/>
      <c r="E66" s="91">
        <v>0.01</v>
      </c>
      <c r="G66" s="34"/>
      <c r="H66" s="34"/>
      <c r="I66" s="34"/>
      <c r="J66" s="34"/>
      <c r="K66" s="105">
        <f t="shared" ref="K66:R66" si="27">K65+$E$66</f>
        <v>0.16715888256080627</v>
      </c>
      <c r="L66" s="106">
        <f t="shared" si="27"/>
        <v>0.17477258837387086</v>
      </c>
      <c r="M66" s="106">
        <f t="shared" si="27"/>
        <v>0.18238629418693544</v>
      </c>
      <c r="N66" s="106">
        <f t="shared" si="27"/>
        <v>0.19</v>
      </c>
      <c r="O66" s="106">
        <f t="shared" si="27"/>
        <v>0.1825</v>
      </c>
      <c r="P66" s="106">
        <f t="shared" si="27"/>
        <v>0.17499999999999999</v>
      </c>
      <c r="Q66" s="106">
        <f t="shared" si="27"/>
        <v>0.16749999999999998</v>
      </c>
      <c r="R66" s="107">
        <f t="shared" si="27"/>
        <v>0.16</v>
      </c>
    </row>
    <row r="67" spans="2:18" x14ac:dyDescent="0.3">
      <c r="G67" s="34"/>
      <c r="H67" s="34"/>
      <c r="I67" s="34"/>
      <c r="J67" s="34"/>
      <c r="K67" s="170"/>
      <c r="L67" s="170"/>
      <c r="M67" s="170"/>
      <c r="N67" s="170"/>
      <c r="O67" s="170"/>
      <c r="P67" s="170"/>
      <c r="Q67" s="170"/>
      <c r="R67" s="170"/>
    </row>
    <row r="68" spans="2:18" x14ac:dyDescent="0.3">
      <c r="B68" s="33" t="s">
        <v>146</v>
      </c>
      <c r="G68" s="135"/>
      <c r="H68" s="97">
        <f>-Model!H70/Model!H56</f>
        <v>0.24007254677357773</v>
      </c>
      <c r="I68" s="97">
        <f>-Model!I70/Model!I56</f>
        <v>0.19286209820396208</v>
      </c>
      <c r="J68" s="97">
        <f>-Model!J70/Model!J56</f>
        <v>0.22540038225795822</v>
      </c>
      <c r="K68" s="98">
        <f t="shared" ref="K68:R68" si="28">_xlfn.XLOOKUP($D$6,$B$69:$B$71,K69:K71)</f>
        <v>0.21944500907849931</v>
      </c>
      <c r="L68" s="98">
        <f t="shared" si="28"/>
        <v>0.21738143635299942</v>
      </c>
      <c r="M68" s="98">
        <f t="shared" si="28"/>
        <v>0.21531786362749952</v>
      </c>
      <c r="N68" s="98">
        <f t="shared" si="28"/>
        <v>0.21325429090199963</v>
      </c>
      <c r="O68" s="98">
        <f t="shared" si="28"/>
        <v>0.21119071817649973</v>
      </c>
      <c r="P68" s="98">
        <f t="shared" si="28"/>
        <v>0.20912714545099984</v>
      </c>
      <c r="Q68" s="98">
        <f t="shared" si="28"/>
        <v>0.20706357272549994</v>
      </c>
      <c r="R68" s="99">
        <f t="shared" si="28"/>
        <v>0.20499999999999999</v>
      </c>
    </row>
    <row r="69" spans="2:18" x14ac:dyDescent="0.3">
      <c r="B69" s="86" t="s">
        <v>129</v>
      </c>
      <c r="C69" s="87"/>
      <c r="E69" s="89">
        <v>-0.01</v>
      </c>
      <c r="G69" s="34"/>
      <c r="H69" s="34"/>
      <c r="I69" s="34"/>
      <c r="J69" s="34"/>
      <c r="K69" s="164">
        <f t="shared" ref="K69:R69" si="29">K70+$E$69</f>
        <v>0.20944500907849931</v>
      </c>
      <c r="L69" s="147">
        <f t="shared" si="29"/>
        <v>0.20738143635299941</v>
      </c>
      <c r="M69" s="147">
        <f t="shared" si="29"/>
        <v>0.20531786362749951</v>
      </c>
      <c r="N69" s="147">
        <f t="shared" si="29"/>
        <v>0.20325429090199962</v>
      </c>
      <c r="O69" s="147">
        <f t="shared" si="29"/>
        <v>0.20119071817649972</v>
      </c>
      <c r="P69" s="147">
        <f t="shared" si="29"/>
        <v>0.19912714545099983</v>
      </c>
      <c r="Q69" s="147">
        <f t="shared" si="29"/>
        <v>0.19706357272549993</v>
      </c>
      <c r="R69" s="165">
        <f t="shared" si="29"/>
        <v>0.19499999999999998</v>
      </c>
    </row>
    <row r="70" spans="2:18" x14ac:dyDescent="0.3">
      <c r="B70" s="86" t="s">
        <v>123</v>
      </c>
      <c r="C70" s="87"/>
      <c r="E70" s="90"/>
      <c r="G70" s="34"/>
      <c r="H70" s="34"/>
      <c r="I70" s="34"/>
      <c r="J70" s="34"/>
      <c r="K70" s="100">
        <f>AVERAGE(H68:J68)</f>
        <v>0.21944500907849931</v>
      </c>
      <c r="L70" s="171">
        <f t="shared" ref="L70:Q70" si="30">K70-($K$70-$R$70)/7</f>
        <v>0.21738143635299942</v>
      </c>
      <c r="M70" s="171">
        <f t="shared" si="30"/>
        <v>0.21531786362749952</v>
      </c>
      <c r="N70" s="171">
        <f t="shared" si="30"/>
        <v>0.21325429090199963</v>
      </c>
      <c r="O70" s="171">
        <f t="shared" si="30"/>
        <v>0.21119071817649973</v>
      </c>
      <c r="P70" s="171">
        <f t="shared" si="30"/>
        <v>0.20912714545099984</v>
      </c>
      <c r="Q70" s="171">
        <f t="shared" si="30"/>
        <v>0.20706357272549994</v>
      </c>
      <c r="R70" s="173">
        <v>0.20499999999999999</v>
      </c>
    </row>
    <row r="71" spans="2:18" x14ac:dyDescent="0.3">
      <c r="B71" s="86" t="s">
        <v>130</v>
      </c>
      <c r="C71" s="87"/>
      <c r="E71" s="91">
        <v>0.01</v>
      </c>
      <c r="G71" s="34"/>
      <c r="H71" s="34"/>
      <c r="I71" s="34"/>
      <c r="J71" s="34"/>
      <c r="K71" s="105">
        <f t="shared" ref="K71:R71" si="31">K70+$E$71</f>
        <v>0.22944500907849932</v>
      </c>
      <c r="L71" s="106">
        <f t="shared" si="31"/>
        <v>0.22738143635299943</v>
      </c>
      <c r="M71" s="106">
        <f t="shared" si="31"/>
        <v>0.22531786362749953</v>
      </c>
      <c r="N71" s="106">
        <f t="shared" si="31"/>
        <v>0.22325429090199964</v>
      </c>
      <c r="O71" s="106">
        <f t="shared" si="31"/>
        <v>0.22119071817649974</v>
      </c>
      <c r="P71" s="106">
        <f t="shared" si="31"/>
        <v>0.21912714545099984</v>
      </c>
      <c r="Q71" s="106">
        <f t="shared" si="31"/>
        <v>0.21706357272549995</v>
      </c>
      <c r="R71" s="107">
        <f t="shared" si="31"/>
        <v>0.215</v>
      </c>
    </row>
    <row r="72" spans="2:18" x14ac:dyDescent="0.3">
      <c r="G72" s="34"/>
      <c r="H72" s="34"/>
      <c r="I72" s="34"/>
      <c r="J72" s="34"/>
      <c r="K72" s="170"/>
      <c r="L72" s="170"/>
      <c r="M72" s="170"/>
      <c r="N72" s="170"/>
      <c r="O72" s="170"/>
      <c r="P72" s="170"/>
      <c r="Q72" s="170"/>
      <c r="R72" s="170"/>
    </row>
    <row r="73" spans="2:18" x14ac:dyDescent="0.3">
      <c r="B73" s="88" t="s">
        <v>147</v>
      </c>
      <c r="G73" s="135"/>
      <c r="H73" s="97">
        <f>-Model!H71/Model!H56</f>
        <v>0.23625429553264607</v>
      </c>
      <c r="I73" s="97">
        <f>-Model!I71/Model!I56</f>
        <v>0.20288291066060279</v>
      </c>
      <c r="J73" s="97">
        <f>-Model!J71/Model!J56</f>
        <v>0.24121795294272722</v>
      </c>
      <c r="K73" s="98">
        <f t="shared" ref="K73:R73" si="32">_xlfn.XLOOKUP($D$6,$B$74:$B$76,K74:K76)</f>
        <v>0.22678505304532537</v>
      </c>
      <c r="L73" s="98">
        <f t="shared" si="32"/>
        <v>0.22119003536355025</v>
      </c>
      <c r="M73" s="98">
        <f t="shared" si="32"/>
        <v>0.21559501768177514</v>
      </c>
      <c r="N73" s="98">
        <f t="shared" si="32"/>
        <v>0.21</v>
      </c>
      <c r="O73" s="98">
        <f t="shared" si="32"/>
        <v>0.20749999999999999</v>
      </c>
      <c r="P73" s="98">
        <f t="shared" si="32"/>
        <v>0.20499999999999999</v>
      </c>
      <c r="Q73" s="98">
        <f t="shared" si="32"/>
        <v>0.20249999999999999</v>
      </c>
      <c r="R73" s="99">
        <f t="shared" si="32"/>
        <v>0.2</v>
      </c>
    </row>
    <row r="74" spans="2:18" x14ac:dyDescent="0.3">
      <c r="B74" s="86" t="s">
        <v>129</v>
      </c>
      <c r="C74" s="87"/>
      <c r="E74" s="89">
        <v>-0.02</v>
      </c>
      <c r="G74" s="34"/>
      <c r="H74" s="34"/>
      <c r="I74" s="34"/>
      <c r="J74" s="34"/>
      <c r="K74" s="164">
        <f t="shared" ref="K74:R74" si="33">K75+$E$74</f>
        <v>0.20678505304532538</v>
      </c>
      <c r="L74" s="147">
        <f t="shared" si="33"/>
        <v>0.20119003536355026</v>
      </c>
      <c r="M74" s="147">
        <f t="shared" si="33"/>
        <v>0.19559501768177515</v>
      </c>
      <c r="N74" s="147">
        <f t="shared" si="33"/>
        <v>0.19</v>
      </c>
      <c r="O74" s="147">
        <f t="shared" si="33"/>
        <v>0.1875</v>
      </c>
      <c r="P74" s="147">
        <f t="shared" si="33"/>
        <v>0.185</v>
      </c>
      <c r="Q74" s="147">
        <f t="shared" si="33"/>
        <v>0.1825</v>
      </c>
      <c r="R74" s="165">
        <f t="shared" si="33"/>
        <v>0.18000000000000002</v>
      </c>
    </row>
    <row r="75" spans="2:18" x14ac:dyDescent="0.3">
      <c r="B75" s="86" t="s">
        <v>123</v>
      </c>
      <c r="C75" s="87"/>
      <c r="E75" s="90"/>
      <c r="G75" s="34"/>
      <c r="H75" s="34"/>
      <c r="I75" s="34"/>
      <c r="J75" s="34"/>
      <c r="K75" s="100">
        <f>AVERAGE(H73:J73)</f>
        <v>0.22678505304532537</v>
      </c>
      <c r="L75" s="171">
        <f>K75-($K$75-$N$75)/3</f>
        <v>0.22119003536355025</v>
      </c>
      <c r="M75" s="171">
        <f>L75-($K$75-$N$75)/3</f>
        <v>0.21559501768177514</v>
      </c>
      <c r="N75" s="172">
        <v>0.21</v>
      </c>
      <c r="O75" s="171">
        <f>N75-($N$75-$R$75)/4</f>
        <v>0.20749999999999999</v>
      </c>
      <c r="P75" s="171">
        <f>O75-($N$75-$R$75)/4</f>
        <v>0.20499999999999999</v>
      </c>
      <c r="Q75" s="171">
        <f>P75-($N$75-$R$75)/4</f>
        <v>0.20249999999999999</v>
      </c>
      <c r="R75" s="173">
        <v>0.2</v>
      </c>
    </row>
    <row r="76" spans="2:18" x14ac:dyDescent="0.3">
      <c r="B76" s="86" t="s">
        <v>130</v>
      </c>
      <c r="C76" s="87"/>
      <c r="E76" s="91">
        <v>0.01</v>
      </c>
      <c r="G76" s="34"/>
      <c r="H76" s="34"/>
      <c r="I76" s="34"/>
      <c r="J76" s="34"/>
      <c r="K76" s="105">
        <f t="shared" ref="K76:R76" si="34">K75+$E$76</f>
        <v>0.23678505304532538</v>
      </c>
      <c r="L76" s="106">
        <f t="shared" si="34"/>
        <v>0.23119003536355026</v>
      </c>
      <c r="M76" s="106">
        <f t="shared" si="34"/>
        <v>0.22559501768177515</v>
      </c>
      <c r="N76" s="106">
        <f t="shared" si="34"/>
        <v>0.22</v>
      </c>
      <c r="O76" s="106">
        <f t="shared" si="34"/>
        <v>0.2175</v>
      </c>
      <c r="P76" s="106">
        <f t="shared" si="34"/>
        <v>0.215</v>
      </c>
      <c r="Q76" s="106">
        <f t="shared" si="34"/>
        <v>0.21249999999999999</v>
      </c>
      <c r="R76" s="107">
        <f t="shared" si="34"/>
        <v>0.21000000000000002</v>
      </c>
    </row>
    <row r="77" spans="2:18" x14ac:dyDescent="0.3">
      <c r="B77" s="86"/>
      <c r="C77" s="87"/>
      <c r="E77" s="94"/>
      <c r="G77" s="34"/>
      <c r="H77" s="34"/>
      <c r="I77" s="34"/>
      <c r="J77" s="34"/>
      <c r="K77" s="170"/>
      <c r="L77" s="170"/>
      <c r="M77" s="170"/>
      <c r="N77" s="170"/>
      <c r="O77" s="170"/>
      <c r="P77" s="170"/>
      <c r="Q77" s="170"/>
      <c r="R77" s="170"/>
    </row>
    <row r="78" spans="2:18" x14ac:dyDescent="0.3">
      <c r="B78" s="88" t="s">
        <v>148</v>
      </c>
      <c r="C78" s="87"/>
      <c r="E78" s="94"/>
      <c r="G78" s="135"/>
      <c r="H78" s="97">
        <f>-Model!H85/Model!H55</f>
        <v>0.11619322741133047</v>
      </c>
      <c r="I78" s="97">
        <f>-Model!I85/Model!I55</f>
        <v>9.0308515557904465E-2</v>
      </c>
      <c r="J78" s="97">
        <f>-Model!J85/Model!J55</f>
        <v>8.8352272727272724E-2</v>
      </c>
      <c r="K78" s="98">
        <f t="shared" ref="K78:R78" si="35">_xlfn.XLOOKUP($D$6,$B$79:$B$81,K79:K81)</f>
        <v>8.5852272727272722E-2</v>
      </c>
      <c r="L78" s="98">
        <f t="shared" si="35"/>
        <v>8.1444805194805195E-2</v>
      </c>
      <c r="M78" s="98">
        <f t="shared" si="35"/>
        <v>7.7037337662337668E-2</v>
      </c>
      <c r="N78" s="98">
        <f t="shared" si="35"/>
        <v>7.2629870129870142E-2</v>
      </c>
      <c r="O78" s="98">
        <f t="shared" si="35"/>
        <v>6.8222402597402615E-2</v>
      </c>
      <c r="P78" s="98">
        <f t="shared" si="35"/>
        <v>6.3814935064935088E-2</v>
      </c>
      <c r="Q78" s="98">
        <f t="shared" si="35"/>
        <v>5.9407467532467555E-2</v>
      </c>
      <c r="R78" s="99">
        <f t="shared" si="35"/>
        <v>5.5E-2</v>
      </c>
    </row>
    <row r="79" spans="2:18" x14ac:dyDescent="0.3">
      <c r="B79" s="86" t="s">
        <v>129</v>
      </c>
      <c r="C79" s="87"/>
      <c r="E79" s="89">
        <v>-5.0000000000000001E-3</v>
      </c>
      <c r="G79" s="34"/>
      <c r="H79" s="34"/>
      <c r="I79" s="34"/>
      <c r="J79" s="34"/>
      <c r="K79" s="164">
        <f t="shared" ref="K79:R79" si="36">K80+$E$79</f>
        <v>8.0852272727272717E-2</v>
      </c>
      <c r="L79" s="147">
        <f t="shared" si="36"/>
        <v>7.644480519480519E-2</v>
      </c>
      <c r="M79" s="147">
        <f t="shared" si="36"/>
        <v>7.2037337662337664E-2</v>
      </c>
      <c r="N79" s="147">
        <f t="shared" si="36"/>
        <v>6.7629870129870137E-2</v>
      </c>
      <c r="O79" s="147">
        <f t="shared" si="36"/>
        <v>6.322240259740261E-2</v>
      </c>
      <c r="P79" s="147">
        <f t="shared" si="36"/>
        <v>5.8814935064935091E-2</v>
      </c>
      <c r="Q79" s="147">
        <f t="shared" si="36"/>
        <v>5.4407467532467557E-2</v>
      </c>
      <c r="R79" s="165">
        <f t="shared" si="36"/>
        <v>0.05</v>
      </c>
    </row>
    <row r="80" spans="2:18" x14ac:dyDescent="0.3">
      <c r="B80" s="86" t="s">
        <v>123</v>
      </c>
      <c r="C80" s="87"/>
      <c r="E80" s="90"/>
      <c r="G80" s="34"/>
      <c r="H80" s="34"/>
      <c r="I80" s="34"/>
      <c r="J80" s="34"/>
      <c r="K80" s="100">
        <f>J78-0.25%</f>
        <v>8.5852272727272722E-2</v>
      </c>
      <c r="L80" s="171">
        <f t="shared" ref="L80:Q80" si="37">K80-($K$80-$R$80)/7</f>
        <v>8.1444805194805195E-2</v>
      </c>
      <c r="M80" s="171">
        <f t="shared" si="37"/>
        <v>7.7037337662337668E-2</v>
      </c>
      <c r="N80" s="171">
        <f t="shared" si="37"/>
        <v>7.2629870129870142E-2</v>
      </c>
      <c r="O80" s="171">
        <f t="shared" si="37"/>
        <v>6.8222402597402615E-2</v>
      </c>
      <c r="P80" s="171">
        <f t="shared" si="37"/>
        <v>6.3814935064935088E-2</v>
      </c>
      <c r="Q80" s="171">
        <f t="shared" si="37"/>
        <v>5.9407467532467555E-2</v>
      </c>
      <c r="R80" s="173">
        <v>5.5E-2</v>
      </c>
    </row>
    <row r="81" spans="2:18" x14ac:dyDescent="0.3">
      <c r="B81" s="86" t="s">
        <v>130</v>
      </c>
      <c r="C81" s="87"/>
      <c r="E81" s="91">
        <v>0.01</v>
      </c>
      <c r="G81" s="34"/>
      <c r="H81" s="34"/>
      <c r="I81" s="34"/>
      <c r="J81" s="34"/>
      <c r="K81" s="105">
        <f t="shared" ref="K81:R81" si="38">K80+$E$81</f>
        <v>9.5852272727272717E-2</v>
      </c>
      <c r="L81" s="106">
        <f t="shared" si="38"/>
        <v>9.144480519480519E-2</v>
      </c>
      <c r="M81" s="106">
        <f t="shared" si="38"/>
        <v>8.7037337662337663E-2</v>
      </c>
      <c r="N81" s="106">
        <f t="shared" si="38"/>
        <v>8.2629870129870137E-2</v>
      </c>
      <c r="O81" s="106">
        <f t="shared" si="38"/>
        <v>7.822240259740261E-2</v>
      </c>
      <c r="P81" s="106">
        <f t="shared" si="38"/>
        <v>7.3814935064935083E-2</v>
      </c>
      <c r="Q81" s="106">
        <f t="shared" si="38"/>
        <v>6.9407467532467557E-2</v>
      </c>
      <c r="R81" s="107">
        <f t="shared" si="38"/>
        <v>6.5000000000000002E-2</v>
      </c>
    </row>
    <row r="82" spans="2:18" x14ac:dyDescent="0.3">
      <c r="B82" s="86"/>
      <c r="C82" s="87"/>
      <c r="E82" s="94"/>
      <c r="G82" s="34"/>
      <c r="H82" s="34"/>
      <c r="I82" s="34"/>
      <c r="J82" s="34"/>
      <c r="K82" s="170"/>
      <c r="L82" s="170"/>
      <c r="M82" s="170"/>
      <c r="N82" s="170"/>
      <c r="O82" s="170"/>
      <c r="P82" s="170"/>
      <c r="Q82" s="170"/>
      <c r="R82" s="170"/>
    </row>
    <row r="83" spans="2:18" x14ac:dyDescent="0.3">
      <c r="B83" s="88" t="s">
        <v>149</v>
      </c>
      <c r="C83" s="87"/>
      <c r="E83" s="94"/>
      <c r="G83" s="34"/>
      <c r="H83" s="34"/>
      <c r="I83" s="34"/>
      <c r="J83" s="34"/>
      <c r="K83" s="170"/>
      <c r="L83" s="170"/>
      <c r="M83" s="170"/>
      <c r="N83" s="170"/>
      <c r="O83" s="170"/>
      <c r="P83" s="170"/>
      <c r="Q83" s="170"/>
      <c r="R83" s="170"/>
    </row>
    <row r="84" spans="2:18" x14ac:dyDescent="0.3">
      <c r="B84" s="86" t="s">
        <v>150</v>
      </c>
      <c r="C84" s="87"/>
      <c r="D84" t="s">
        <v>151</v>
      </c>
      <c r="E84" s="94"/>
      <c r="G84" s="34"/>
      <c r="H84" s="202">
        <f>Model!H143</f>
        <v>52.749558658321291</v>
      </c>
      <c r="I84" s="203">
        <f>Model!I143</f>
        <v>55.170773601109865</v>
      </c>
      <c r="J84" s="203">
        <f>Model!J143</f>
        <v>54.915909090909089</v>
      </c>
      <c r="K84" s="217">
        <f>AVERAGE(H84:J84)</f>
        <v>54.278747116780075</v>
      </c>
      <c r="L84" s="204">
        <f>K84-($K$84-$R$84)/7</f>
        <v>53.953211814382918</v>
      </c>
      <c r="M84" s="204">
        <f t="shared" ref="M84:Q84" si="39">L84-($K$84-$R$84)/7</f>
        <v>53.627676511985761</v>
      </c>
      <c r="N84" s="204">
        <f t="shared" si="39"/>
        <v>53.302141209588605</v>
      </c>
      <c r="O84" s="204">
        <f t="shared" si="39"/>
        <v>52.976605907191448</v>
      </c>
      <c r="P84" s="204">
        <f t="shared" si="39"/>
        <v>52.651070604794292</v>
      </c>
      <c r="Q84" s="204">
        <f t="shared" si="39"/>
        <v>52.325535302397135</v>
      </c>
      <c r="R84" s="205">
        <v>52</v>
      </c>
    </row>
    <row r="85" spans="2:18" x14ac:dyDescent="0.3">
      <c r="B85" s="86" t="s">
        <v>152</v>
      </c>
      <c r="C85" s="87"/>
      <c r="D85" t="s">
        <v>153</v>
      </c>
      <c r="E85" s="94"/>
      <c r="G85" s="34"/>
      <c r="H85" s="206">
        <f>Model!H144</f>
        <v>0.12677878395860287</v>
      </c>
      <c r="I85" s="197">
        <f>Model!I144</f>
        <v>0.14610239852398527</v>
      </c>
      <c r="J85" s="197">
        <f>Model!J144</f>
        <v>0.14505749551640468</v>
      </c>
      <c r="K85" s="218">
        <f>AVERAGE(H85:J85)</f>
        <v>0.13931289266633093</v>
      </c>
      <c r="L85" s="207">
        <f>K85</f>
        <v>0.13931289266633093</v>
      </c>
      <c r="M85" s="207">
        <f t="shared" ref="M85:R85" si="40">L85</f>
        <v>0.13931289266633093</v>
      </c>
      <c r="N85" s="207">
        <f t="shared" si="40"/>
        <v>0.13931289266633093</v>
      </c>
      <c r="O85" s="207">
        <f t="shared" si="40"/>
        <v>0.13931289266633093</v>
      </c>
      <c r="P85" s="207">
        <f t="shared" si="40"/>
        <v>0.13931289266633093</v>
      </c>
      <c r="Q85" s="207">
        <f t="shared" si="40"/>
        <v>0.13931289266633093</v>
      </c>
      <c r="R85" s="208">
        <f t="shared" si="40"/>
        <v>0.13931289266633093</v>
      </c>
    </row>
    <row r="86" spans="2:18" x14ac:dyDescent="0.3">
      <c r="B86" s="6" t="s">
        <v>154</v>
      </c>
      <c r="C86" s="87"/>
      <c r="D86" t="s">
        <v>155</v>
      </c>
      <c r="E86" s="94"/>
      <c r="G86" s="34"/>
      <c r="H86" s="222"/>
      <c r="I86" s="197">
        <f>Model!I145</f>
        <v>0.17021088073719653</v>
      </c>
      <c r="J86" s="197">
        <f>Model!J145</f>
        <v>0.1760060744115414</v>
      </c>
      <c r="K86" s="218">
        <f>AVERAGE(I86:J86)</f>
        <v>0.17310847757436898</v>
      </c>
      <c r="L86" s="207">
        <f t="shared" ref="L86:R86" si="41">AVERAGE(J86:K86)</f>
        <v>0.17455727599295517</v>
      </c>
      <c r="M86" s="207">
        <f t="shared" si="41"/>
        <v>0.17383287678366208</v>
      </c>
      <c r="N86" s="207">
        <f t="shared" si="41"/>
        <v>0.17419507638830861</v>
      </c>
      <c r="O86" s="207">
        <f t="shared" si="41"/>
        <v>0.17401397658598533</v>
      </c>
      <c r="P86" s="207">
        <f t="shared" si="41"/>
        <v>0.17410452648714697</v>
      </c>
      <c r="Q86" s="207">
        <f t="shared" si="41"/>
        <v>0.17405925153656615</v>
      </c>
      <c r="R86" s="208">
        <f t="shared" si="41"/>
        <v>0.17408188901185656</v>
      </c>
    </row>
    <row r="87" spans="2:18" x14ac:dyDescent="0.3">
      <c r="B87" s="86" t="s">
        <v>156</v>
      </c>
      <c r="C87" s="87"/>
      <c r="D87" t="s">
        <v>151</v>
      </c>
      <c r="E87" s="94"/>
      <c r="G87" s="34"/>
      <c r="H87" s="209">
        <f>Model!H146</f>
        <v>25.639715394566629</v>
      </c>
      <c r="I87" s="154">
        <f>Model!I146</f>
        <v>28.073685424354245</v>
      </c>
      <c r="J87" s="154">
        <f>Model!J146</f>
        <v>29.649752083553118</v>
      </c>
      <c r="K87" s="219">
        <f>AVERAGE(I87:J87)</f>
        <v>28.861718753953681</v>
      </c>
      <c r="L87" s="210">
        <f>K87-($K$87-$N$87)/3</f>
        <v>28.574479169302453</v>
      </c>
      <c r="M87" s="210">
        <f t="shared" ref="M87" si="42">L87-($K$87-$N$87)/3</f>
        <v>28.287239584651225</v>
      </c>
      <c r="N87" s="211">
        <v>28</v>
      </c>
      <c r="O87" s="210">
        <f>N87</f>
        <v>28</v>
      </c>
      <c r="P87" s="210">
        <f t="shared" ref="P87:R87" si="43">O87</f>
        <v>28</v>
      </c>
      <c r="Q87" s="210">
        <f t="shared" si="43"/>
        <v>28</v>
      </c>
      <c r="R87" s="212">
        <f t="shared" si="43"/>
        <v>28</v>
      </c>
    </row>
    <row r="88" spans="2:18" x14ac:dyDescent="0.3">
      <c r="B88" s="86" t="s">
        <v>157</v>
      </c>
      <c r="D88" t="s">
        <v>153</v>
      </c>
      <c r="G88" s="34"/>
      <c r="H88" s="206">
        <f>Model!H147</f>
        <v>3.1047865459249681E-2</v>
      </c>
      <c r="I88" s="197">
        <f>Model!I147</f>
        <v>3.5055350553505539E-2</v>
      </c>
      <c r="J88" s="197">
        <f>Model!J147</f>
        <v>3.323135351830362E-2</v>
      </c>
      <c r="K88" s="218">
        <f>AVERAGE(H88:J88)</f>
        <v>3.3111523177019618E-2</v>
      </c>
      <c r="L88" s="207">
        <f>K88</f>
        <v>3.3111523177019618E-2</v>
      </c>
      <c r="M88" s="207">
        <f t="shared" ref="M88:R88" si="44">L88</f>
        <v>3.3111523177019618E-2</v>
      </c>
      <c r="N88" s="207">
        <f t="shared" si="44"/>
        <v>3.3111523177019618E-2</v>
      </c>
      <c r="O88" s="207">
        <f t="shared" si="44"/>
        <v>3.3111523177019618E-2</v>
      </c>
      <c r="P88" s="207">
        <f t="shared" si="44"/>
        <v>3.3111523177019618E-2</v>
      </c>
      <c r="Q88" s="207">
        <f t="shared" si="44"/>
        <v>3.3111523177019618E-2</v>
      </c>
      <c r="R88" s="208">
        <f t="shared" si="44"/>
        <v>3.3111523177019618E-2</v>
      </c>
    </row>
    <row r="89" spans="2:18" x14ac:dyDescent="0.3">
      <c r="B89" s="86" t="s">
        <v>158</v>
      </c>
      <c r="D89" s="191" t="s">
        <v>155</v>
      </c>
      <c r="G89" s="34"/>
      <c r="H89" s="213">
        <f>Model!H148</f>
        <v>4.2588381228033913E-2</v>
      </c>
      <c r="I89" s="214">
        <f>Model!I148</f>
        <v>3.5619351408825099E-2</v>
      </c>
      <c r="J89" s="214">
        <f>Model!J148</f>
        <v>3.2118451025056949E-2</v>
      </c>
      <c r="K89" s="220">
        <f>AVERAGE(I89:J89)</f>
        <v>3.3868901216941028E-2</v>
      </c>
      <c r="L89" s="215">
        <f>K89</f>
        <v>3.3868901216941028E-2</v>
      </c>
      <c r="M89" s="215">
        <f t="shared" ref="M89:R89" si="45">L89</f>
        <v>3.3868901216941028E-2</v>
      </c>
      <c r="N89" s="215">
        <f t="shared" si="45"/>
        <v>3.3868901216941028E-2</v>
      </c>
      <c r="O89" s="215">
        <f t="shared" si="45"/>
        <v>3.3868901216941028E-2</v>
      </c>
      <c r="P89" s="215">
        <f t="shared" si="45"/>
        <v>3.3868901216941028E-2</v>
      </c>
      <c r="Q89" s="215">
        <f t="shared" si="45"/>
        <v>3.3868901216941028E-2</v>
      </c>
      <c r="R89" s="216">
        <f t="shared" si="45"/>
        <v>3.3868901216941028E-2</v>
      </c>
    </row>
    <row r="90" spans="2:18" x14ac:dyDescent="0.3">
      <c r="B90" s="86"/>
      <c r="G90" s="34"/>
      <c r="H90" s="34"/>
      <c r="I90" s="34"/>
      <c r="J90" s="34"/>
      <c r="K90" s="170"/>
      <c r="L90" s="170"/>
      <c r="M90" s="170"/>
      <c r="N90" s="170"/>
      <c r="O90" s="170"/>
      <c r="P90" s="170"/>
      <c r="Q90" s="170"/>
      <c r="R90" s="170"/>
    </row>
    <row r="91" spans="2:18" x14ac:dyDescent="0.3">
      <c r="B91" s="88" t="s">
        <v>159</v>
      </c>
      <c r="G91" s="129">
        <f>-Model!G73/Model!G55</f>
        <v>7.5668814684631908E-2</v>
      </c>
      <c r="H91" s="97">
        <f>-Model!H73/Model!H55</f>
        <v>7.1417108008345387E-2</v>
      </c>
      <c r="I91" s="97">
        <f>-Model!I73/Model!I55</f>
        <v>8.7533857435423135E-2</v>
      </c>
      <c r="J91" s="97">
        <f>-Model!J73/Model!J55</f>
        <v>0.11920454545454547</v>
      </c>
      <c r="K91" s="98">
        <f t="shared" ref="K91:R91" si="46">_xlfn.XLOOKUP($D$6,$B$92:$B$94,K92:K94)</f>
        <v>0.09</v>
      </c>
      <c r="L91" s="98">
        <f t="shared" si="46"/>
        <v>9.3333333333333338E-2</v>
      </c>
      <c r="M91" s="98">
        <f t="shared" si="46"/>
        <v>9.6666666666666679E-2</v>
      </c>
      <c r="N91" s="98">
        <f t="shared" si="46"/>
        <v>0.1</v>
      </c>
      <c r="O91" s="98">
        <f t="shared" si="46"/>
        <v>9.8750000000000004E-2</v>
      </c>
      <c r="P91" s="98">
        <f t="shared" si="46"/>
        <v>9.7500000000000003E-2</v>
      </c>
      <c r="Q91" s="98">
        <f t="shared" si="46"/>
        <v>9.6250000000000002E-2</v>
      </c>
      <c r="R91" s="99">
        <f t="shared" si="46"/>
        <v>9.5000000000000001E-2</v>
      </c>
    </row>
    <row r="92" spans="2:18" x14ac:dyDescent="0.3">
      <c r="B92" s="86" t="s">
        <v>129</v>
      </c>
      <c r="E92" s="89">
        <v>-0.01</v>
      </c>
      <c r="G92" s="34"/>
      <c r="H92" s="34"/>
      <c r="I92" s="34"/>
      <c r="J92" s="34"/>
      <c r="K92" s="164">
        <f>K93+$E$92</f>
        <v>0.08</v>
      </c>
      <c r="L92" s="147">
        <f t="shared" ref="L92:R92" si="47">L93+$E$92</f>
        <v>8.3333333333333343E-2</v>
      </c>
      <c r="M92" s="147">
        <f t="shared" si="47"/>
        <v>8.6666666666666684E-2</v>
      </c>
      <c r="N92" s="147">
        <f t="shared" si="47"/>
        <v>9.0000000000000011E-2</v>
      </c>
      <c r="O92" s="147">
        <f t="shared" si="47"/>
        <v>8.8750000000000009E-2</v>
      </c>
      <c r="P92" s="147">
        <f t="shared" si="47"/>
        <v>8.7500000000000008E-2</v>
      </c>
      <c r="Q92" s="147">
        <f t="shared" si="47"/>
        <v>8.6250000000000007E-2</v>
      </c>
      <c r="R92" s="165">
        <f t="shared" si="47"/>
        <v>8.5000000000000006E-2</v>
      </c>
    </row>
    <row r="93" spans="2:18" x14ac:dyDescent="0.3">
      <c r="B93" s="86" t="s">
        <v>123</v>
      </c>
      <c r="E93" s="90"/>
      <c r="G93" s="34"/>
      <c r="H93" s="34"/>
      <c r="I93" s="34"/>
      <c r="J93" s="34"/>
      <c r="K93" s="199">
        <v>0.09</v>
      </c>
      <c r="L93" s="171">
        <f>K93+($N$93-$K$93)/3</f>
        <v>9.3333333333333338E-2</v>
      </c>
      <c r="M93" s="171">
        <f t="shared" ref="M93" si="48">L93+($N$93-$K$93)/3</f>
        <v>9.6666666666666679E-2</v>
      </c>
      <c r="N93" s="172">
        <v>0.1</v>
      </c>
      <c r="O93" s="171">
        <f>N93-($N$93-$R$93)/4</f>
        <v>9.8750000000000004E-2</v>
      </c>
      <c r="P93" s="171">
        <f t="shared" ref="P93:Q93" si="49">O93-($N$93-$R$93)/4</f>
        <v>9.7500000000000003E-2</v>
      </c>
      <c r="Q93" s="171">
        <f t="shared" si="49"/>
        <v>9.6250000000000002E-2</v>
      </c>
      <c r="R93" s="173">
        <v>9.5000000000000001E-2</v>
      </c>
    </row>
    <row r="94" spans="2:18" x14ac:dyDescent="0.3">
      <c r="B94" s="86" t="s">
        <v>130</v>
      </c>
      <c r="E94" s="91">
        <v>1.4999999999999999E-2</v>
      </c>
      <c r="G94" s="34"/>
      <c r="H94" s="34"/>
      <c r="I94" s="34"/>
      <c r="J94" s="34"/>
      <c r="K94" s="105">
        <f>K93+$E$94</f>
        <v>0.105</v>
      </c>
      <c r="L94" s="106">
        <f t="shared" ref="L94:R94" si="50">L93+$E$94</f>
        <v>0.10833333333333334</v>
      </c>
      <c r="M94" s="106">
        <f t="shared" si="50"/>
        <v>0.11166666666666668</v>
      </c>
      <c r="N94" s="106">
        <f t="shared" si="50"/>
        <v>0.115</v>
      </c>
      <c r="O94" s="106">
        <f t="shared" si="50"/>
        <v>0.11375</v>
      </c>
      <c r="P94" s="106">
        <f t="shared" si="50"/>
        <v>0.1125</v>
      </c>
      <c r="Q94" s="106">
        <f t="shared" si="50"/>
        <v>0.11125</v>
      </c>
      <c r="R94" s="107">
        <f t="shared" si="50"/>
        <v>0.11</v>
      </c>
    </row>
    <row r="95" spans="2:18" x14ac:dyDescent="0.3">
      <c r="B95" s="86"/>
      <c r="E95" s="94"/>
      <c r="G95" s="34"/>
      <c r="H95" s="34"/>
      <c r="I95" s="34"/>
      <c r="J95" s="34"/>
      <c r="K95" s="194"/>
      <c r="L95" s="194"/>
      <c r="M95" s="194"/>
      <c r="N95" s="194"/>
      <c r="O95" s="194"/>
      <c r="P95" s="194"/>
      <c r="Q95" s="194"/>
      <c r="R95" s="194"/>
    </row>
    <row r="96" spans="2:18" x14ac:dyDescent="0.3">
      <c r="B96" s="88" t="s">
        <v>160</v>
      </c>
      <c r="E96" s="94"/>
      <c r="G96" s="129">
        <f>Model!G65/Model!G73</f>
        <v>0.65677419354838706</v>
      </c>
      <c r="H96" s="97">
        <f>Model!H65/Model!H73</f>
        <v>0.6179775280898876</v>
      </c>
      <c r="I96" s="97">
        <f>Model!I65/Model!I73</f>
        <v>0.50415094339622635</v>
      </c>
      <c r="J96" s="97">
        <f>Model!J65/Model!J73</f>
        <v>0.38322211630123926</v>
      </c>
      <c r="K96" s="98">
        <f>AVERAGE(I96:J96)-2%</f>
        <v>0.42368652984873278</v>
      </c>
      <c r="L96" s="98">
        <f>K96-($K$96-$N$96)/3</f>
        <v>0.42079101989915518</v>
      </c>
      <c r="M96" s="98">
        <f>L96-($K$96-$N$96)/3</f>
        <v>0.41789550994957758</v>
      </c>
      <c r="N96" s="235">
        <v>0.41499999999999998</v>
      </c>
      <c r="O96" s="98">
        <f>N96-($N$96-$R$96)/4</f>
        <v>0.40499999999999997</v>
      </c>
      <c r="P96" s="98">
        <f>O96-($N$96-$R$96)/4</f>
        <v>0.39499999999999996</v>
      </c>
      <c r="Q96" s="98">
        <f>P96-($N$96-$R$96)/4</f>
        <v>0.38499999999999995</v>
      </c>
      <c r="R96" s="153">
        <v>0.375</v>
      </c>
    </row>
    <row r="97" spans="1:18" x14ac:dyDescent="0.3">
      <c r="B97" s="88"/>
      <c r="E97" s="94"/>
      <c r="G97" s="197"/>
      <c r="H97" s="197"/>
      <c r="I97" s="197"/>
      <c r="J97" s="197"/>
      <c r="K97" s="101"/>
      <c r="L97" s="101"/>
      <c r="M97" s="101"/>
      <c r="N97" s="101"/>
      <c r="O97" s="101"/>
      <c r="P97" s="101"/>
      <c r="Q97" s="101"/>
      <c r="R97" s="198"/>
    </row>
    <row r="98" spans="1:18" ht="15.6" x14ac:dyDescent="0.3">
      <c r="A98" s="34" t="s">
        <v>120</v>
      </c>
      <c r="B98" s="84" t="s">
        <v>161</v>
      </c>
      <c r="C98" s="84"/>
      <c r="D98" s="84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</row>
    <row r="99" spans="1:18" x14ac:dyDescent="0.3">
      <c r="B99" s="88"/>
      <c r="E99" s="94"/>
      <c r="G99" s="197"/>
      <c r="H99" s="197"/>
      <c r="I99" s="197"/>
      <c r="J99" s="197"/>
      <c r="K99" s="101"/>
      <c r="L99" s="101"/>
      <c r="M99" s="101"/>
      <c r="N99" s="101"/>
      <c r="O99" s="101"/>
      <c r="P99" s="101"/>
      <c r="Q99" s="101"/>
      <c r="R99" s="198"/>
    </row>
    <row r="100" spans="1:18" ht="15" thickBot="1" x14ac:dyDescent="0.35">
      <c r="B100" s="88"/>
      <c r="E100" s="94"/>
      <c r="H100" s="42">
        <v>2022</v>
      </c>
      <c r="I100" s="42">
        <v>2023</v>
      </c>
      <c r="J100" s="42">
        <v>2024</v>
      </c>
      <c r="K100" s="43">
        <v>2025</v>
      </c>
      <c r="L100" s="43">
        <f t="shared" ref="L100" si="51">K100+1</f>
        <v>2026</v>
      </c>
      <c r="M100" s="43">
        <f t="shared" ref="M100" si="52">L100+1</f>
        <v>2027</v>
      </c>
      <c r="N100" s="43">
        <f t="shared" ref="N100" si="53">M100+1</f>
        <v>2028</v>
      </c>
      <c r="O100" s="43">
        <f t="shared" ref="O100" si="54">N100+1</f>
        <v>2029</v>
      </c>
      <c r="P100" s="43">
        <f t="shared" ref="P100" si="55">O100+1</f>
        <v>2030</v>
      </c>
      <c r="Q100" s="43">
        <f t="shared" ref="Q100" si="56">P100+1</f>
        <v>2031</v>
      </c>
      <c r="R100" s="43">
        <f>Q100+1</f>
        <v>2032</v>
      </c>
    </row>
    <row r="101" spans="1:18" x14ac:dyDescent="0.3">
      <c r="B101" s="88"/>
      <c r="E101" s="94"/>
      <c r="G101" s="197"/>
      <c r="H101" s="197"/>
      <c r="I101" s="197"/>
      <c r="J101" s="197"/>
      <c r="K101" s="101"/>
      <c r="L101" s="101"/>
      <c r="M101" s="101"/>
      <c r="N101" s="101"/>
      <c r="O101" s="101"/>
      <c r="P101" s="101"/>
      <c r="Q101" s="101"/>
      <c r="R101" s="198"/>
    </row>
    <row r="102" spans="1:18" x14ac:dyDescent="0.3">
      <c r="B102" t="s">
        <v>162</v>
      </c>
      <c r="E102" s="94"/>
      <c r="G102" s="197"/>
      <c r="H102" s="197">
        <f>Model!H127</f>
        <v>2.0880711184618567E-2</v>
      </c>
      <c r="I102" s="197">
        <f>Model!I127</f>
        <v>1.6835016835016835E-2</v>
      </c>
      <c r="J102" s="197">
        <f>Model!J127</f>
        <v>1.0858010630220198E-2</v>
      </c>
      <c r="K102" s="101">
        <f>J102+($N$102-$J$102)/4</f>
        <v>1.3143507972665149E-2</v>
      </c>
      <c r="L102" s="101">
        <f t="shared" ref="L102:M102" si="57">K102+($N$102-$J$102)/4</f>
        <v>1.5429005315110099E-2</v>
      </c>
      <c r="M102" s="101">
        <f t="shared" si="57"/>
        <v>1.7714502657555049E-2</v>
      </c>
      <c r="N102" s="198">
        <v>0.02</v>
      </c>
      <c r="O102" s="101">
        <f>N102-($N$102-$R$102)/4</f>
        <v>1.8000000000000002E-2</v>
      </c>
      <c r="P102" s="101">
        <f t="shared" ref="P102:Q102" si="58">O102-($N$102-$R$102)/4</f>
        <v>1.6E-2</v>
      </c>
      <c r="Q102" s="101">
        <f t="shared" si="58"/>
        <v>1.4E-2</v>
      </c>
      <c r="R102" s="198">
        <v>1.2E-2</v>
      </c>
    </row>
    <row r="103" spans="1:18" x14ac:dyDescent="0.3">
      <c r="B103" t="s">
        <v>163</v>
      </c>
      <c r="E103" s="94"/>
      <c r="G103" s="197"/>
      <c r="H103" s="197">
        <f>Model!H128</f>
        <v>7.6803804010750473E-2</v>
      </c>
      <c r="I103" s="197">
        <f>Model!I128</f>
        <v>8.4529505582137177E-2</v>
      </c>
      <c r="J103" s="197">
        <f>Model!J128</f>
        <v>7.2361427486712218E-2</v>
      </c>
      <c r="K103" s="101">
        <f>J103+($N$103-$J$103)/4</f>
        <v>7.802107061503416E-2</v>
      </c>
      <c r="L103" s="101">
        <f t="shared" ref="L103:M103" si="59">K103+($N$103-$J$103)/4</f>
        <v>8.3680713743356103E-2</v>
      </c>
      <c r="M103" s="101">
        <f t="shared" si="59"/>
        <v>8.9340356871678045E-2</v>
      </c>
      <c r="N103" s="198">
        <v>9.5000000000000001E-2</v>
      </c>
      <c r="O103" s="101">
        <f>N103-($N$103-$R$103)/4</f>
        <v>8.8749999999999996E-2</v>
      </c>
      <c r="P103" s="101">
        <f t="shared" ref="P103:Q103" si="60">O103-($N$103-$R$103)/4</f>
        <v>8.249999999999999E-2</v>
      </c>
      <c r="Q103" s="101">
        <f t="shared" si="60"/>
        <v>7.6249999999999984E-2</v>
      </c>
      <c r="R103" s="198">
        <v>7.0000000000000007E-2</v>
      </c>
    </row>
    <row r="105" spans="1:18" ht="15.6" x14ac:dyDescent="0.3">
      <c r="A105" s="34" t="s">
        <v>120</v>
      </c>
      <c r="B105" s="84" t="s">
        <v>164</v>
      </c>
      <c r="C105" s="84"/>
      <c r="D105" s="84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</row>
    <row r="107" spans="1:18" ht="15" thickBot="1" x14ac:dyDescent="0.35">
      <c r="G107" s="42">
        <v>2021</v>
      </c>
      <c r="H107" s="42">
        <v>2022</v>
      </c>
      <c r="I107" s="42">
        <v>2023</v>
      </c>
      <c r="J107" s="42">
        <v>2024</v>
      </c>
      <c r="K107" s="43">
        <v>2025</v>
      </c>
      <c r="L107" s="43">
        <f t="shared" ref="L107" si="61">K107+1</f>
        <v>2026</v>
      </c>
      <c r="M107" s="43">
        <f t="shared" ref="M107" si="62">L107+1</f>
        <v>2027</v>
      </c>
      <c r="N107" s="43">
        <f t="shared" ref="N107" si="63">M107+1</f>
        <v>2028</v>
      </c>
      <c r="O107" s="43">
        <f t="shared" ref="O107" si="64">N107+1</f>
        <v>2029</v>
      </c>
      <c r="P107" s="43">
        <f t="shared" ref="P107" si="65">O107+1</f>
        <v>2030</v>
      </c>
      <c r="Q107" s="43">
        <f t="shared" ref="Q107" si="66">P107+1</f>
        <v>2031</v>
      </c>
      <c r="R107" s="43">
        <f>Q107+1</f>
        <v>2032</v>
      </c>
    </row>
    <row r="109" spans="1:18" x14ac:dyDescent="0.3">
      <c r="B109" s="33" t="s">
        <v>165</v>
      </c>
      <c r="G109" s="182"/>
      <c r="H109" s="183"/>
      <c r="I109" s="183"/>
      <c r="J109" s="183"/>
      <c r="K109" s="188">
        <v>0.04</v>
      </c>
      <c r="L109" s="189">
        <v>3.9E-2</v>
      </c>
      <c r="M109" s="189">
        <v>3.5000000000000003E-2</v>
      </c>
      <c r="N109" s="189">
        <v>3.2500000000000001E-2</v>
      </c>
      <c r="O109" s="189">
        <v>0.03</v>
      </c>
      <c r="P109" s="189">
        <v>2.75E-2</v>
      </c>
      <c r="Q109" s="189">
        <v>2.5000000000000001E-2</v>
      </c>
      <c r="R109" s="190">
        <v>2.5000000000000001E-2</v>
      </c>
    </row>
    <row r="110" spans="1:18" x14ac:dyDescent="0.3">
      <c r="K110" s="187"/>
      <c r="L110" s="187"/>
      <c r="M110" s="187"/>
      <c r="N110" s="187"/>
      <c r="O110" s="187"/>
      <c r="P110" s="187"/>
      <c r="Q110" s="187"/>
      <c r="R110" s="187"/>
    </row>
    <row r="111" spans="1:18" x14ac:dyDescent="0.3">
      <c r="B111" s="33" t="s">
        <v>166</v>
      </c>
    </row>
    <row r="112" spans="1:18" x14ac:dyDescent="0.3">
      <c r="B112" s="81" t="s">
        <v>167</v>
      </c>
      <c r="C112" s="223">
        <f>'Transaction Details'!J38</f>
        <v>200</v>
      </c>
      <c r="G112" s="182"/>
      <c r="H112" s="183"/>
      <c r="I112" s="183"/>
      <c r="J112" s="183"/>
      <c r="K112" s="184"/>
      <c r="L112" s="185">
        <f>L109+$C112/100000</f>
        <v>4.1000000000000002E-2</v>
      </c>
      <c r="M112" s="185">
        <f t="shared" ref="M112:R112" si="67">M109+$C112/100000</f>
        <v>3.7000000000000005E-2</v>
      </c>
      <c r="N112" s="185">
        <f t="shared" si="67"/>
        <v>3.4500000000000003E-2</v>
      </c>
      <c r="O112" s="185">
        <f t="shared" si="67"/>
        <v>3.2000000000000001E-2</v>
      </c>
      <c r="P112" s="185">
        <f t="shared" si="67"/>
        <v>2.9499999999999998E-2</v>
      </c>
      <c r="Q112" s="185">
        <f t="shared" si="67"/>
        <v>2.7000000000000003E-2</v>
      </c>
      <c r="R112" s="186">
        <f t="shared" si="67"/>
        <v>2.7000000000000003E-2</v>
      </c>
    </row>
    <row r="113" spans="1:18" x14ac:dyDescent="0.3">
      <c r="K113" s="187"/>
      <c r="L113" s="187"/>
      <c r="M113" s="187"/>
      <c r="N113" s="187"/>
      <c r="O113" s="187"/>
      <c r="P113" s="187"/>
      <c r="Q113" s="187"/>
      <c r="R113" s="187"/>
    </row>
    <row r="114" spans="1:18" x14ac:dyDescent="0.3">
      <c r="B114" t="s">
        <v>76</v>
      </c>
      <c r="K114" s="187"/>
      <c r="L114" s="187"/>
      <c r="M114" s="187"/>
      <c r="N114" s="187"/>
      <c r="O114" s="187"/>
      <c r="P114" s="187"/>
      <c r="Q114" s="187"/>
      <c r="R114" s="187"/>
    </row>
    <row r="115" spans="1:18" x14ac:dyDescent="0.3">
      <c r="B115" s="81" t="s">
        <v>167</v>
      </c>
      <c r="C115" s="223">
        <f>'Transaction Details'!J39</f>
        <v>350</v>
      </c>
      <c r="G115" s="182"/>
      <c r="H115" s="183"/>
      <c r="I115" s="183"/>
      <c r="J115" s="183"/>
      <c r="K115" s="184"/>
      <c r="L115" s="185">
        <f>L112+$C115/100000</f>
        <v>4.4500000000000005E-2</v>
      </c>
      <c r="M115" s="185">
        <f t="shared" ref="M115:R115" si="68">M112+$C115/100000</f>
        <v>4.0500000000000008E-2</v>
      </c>
      <c r="N115" s="185">
        <f t="shared" si="68"/>
        <v>3.8000000000000006E-2</v>
      </c>
      <c r="O115" s="185">
        <f t="shared" si="68"/>
        <v>3.5500000000000004E-2</v>
      </c>
      <c r="P115" s="185">
        <f t="shared" si="68"/>
        <v>3.3000000000000002E-2</v>
      </c>
      <c r="Q115" s="185">
        <f t="shared" si="68"/>
        <v>3.0500000000000003E-2</v>
      </c>
      <c r="R115" s="186">
        <f t="shared" si="68"/>
        <v>3.0500000000000003E-2</v>
      </c>
    </row>
    <row r="117" spans="1:18" x14ac:dyDescent="0.3">
      <c r="A117" s="5" t="s">
        <v>340</v>
      </c>
      <c r="B117" s="5" t="s">
        <v>340</v>
      </c>
      <c r="C117" s="5" t="s">
        <v>340</v>
      </c>
      <c r="D117" s="5" t="s">
        <v>340</v>
      </c>
      <c r="E117" s="5" t="s">
        <v>340</v>
      </c>
      <c r="F117" s="5" t="s">
        <v>340</v>
      </c>
      <c r="G117" s="5" t="s">
        <v>340</v>
      </c>
      <c r="H117" s="5" t="s">
        <v>340</v>
      </c>
      <c r="I117" s="5" t="s">
        <v>340</v>
      </c>
      <c r="J117" s="5" t="s">
        <v>340</v>
      </c>
      <c r="K117" s="5" t="s">
        <v>340</v>
      </c>
      <c r="L117" s="5" t="s">
        <v>340</v>
      </c>
      <c r="M117" s="5" t="s">
        <v>340</v>
      </c>
      <c r="N117" s="5" t="s">
        <v>340</v>
      </c>
      <c r="O117" s="5" t="s">
        <v>340</v>
      </c>
      <c r="P117" s="5" t="s">
        <v>340</v>
      </c>
      <c r="Q117" s="5" t="s">
        <v>340</v>
      </c>
      <c r="R117" s="5" t="s">
        <v>340</v>
      </c>
    </row>
  </sheetData>
  <dataValidations disablePrompts="1" count="1">
    <dataValidation type="list" allowBlank="1" showInputMessage="1" showErrorMessage="1" sqref="D6" xr:uid="{A4C087A6-1995-4B04-BE83-6DC596CE5E56}">
      <formula1>"Bull,Base,Bear"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B3894-443B-4A48-A635-41F2794C31EF}">
  <sheetPr codeName="Sheet3"/>
  <dimension ref="A1:W321"/>
  <sheetViews>
    <sheetView showGridLines="0"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4.4" x14ac:dyDescent="0.3"/>
  <cols>
    <col min="1" max="1" width="4.6640625" style="258" customWidth="1"/>
    <col min="2" max="2" width="48.33203125" style="258" bestFit="1" customWidth="1"/>
    <col min="3" max="3" width="20.6640625" style="258" customWidth="1"/>
    <col min="4" max="5" width="2.6640625" style="258" customWidth="1"/>
    <col min="6" max="6" width="10.6640625" style="258" customWidth="1"/>
    <col min="7" max="20" width="11.88671875" style="258" bestFit="1" customWidth="1"/>
    <col min="21" max="16384" width="8.88671875" style="258"/>
  </cols>
  <sheetData>
    <row r="1" spans="1:21" x14ac:dyDescent="0.3">
      <c r="G1" s="259"/>
      <c r="H1" s="259"/>
      <c r="I1" s="259"/>
      <c r="J1" s="259"/>
      <c r="K1" s="260" t="s">
        <v>168</v>
      </c>
      <c r="L1" s="261"/>
      <c r="M1" s="261"/>
      <c r="N1" s="261"/>
      <c r="O1" s="261"/>
      <c r="P1" s="261"/>
      <c r="Q1" s="261"/>
      <c r="R1" s="261"/>
      <c r="S1" s="262" t="s">
        <v>169</v>
      </c>
      <c r="T1" s="263"/>
    </row>
    <row r="2" spans="1:21" x14ac:dyDescent="0.3">
      <c r="G2" s="264">
        <v>2021</v>
      </c>
      <c r="H2" s="264">
        <v>2022</v>
      </c>
      <c r="I2" s="264">
        <v>2023</v>
      </c>
      <c r="J2" s="264">
        <v>2024</v>
      </c>
      <c r="K2" s="265">
        <v>2025</v>
      </c>
      <c r="L2" s="265">
        <v>2026</v>
      </c>
      <c r="M2" s="265">
        <v>2027</v>
      </c>
      <c r="N2" s="265">
        <v>2028</v>
      </c>
      <c r="O2" s="265">
        <v>2029</v>
      </c>
      <c r="P2" s="265">
        <v>2030</v>
      </c>
      <c r="Q2" s="265">
        <v>2031</v>
      </c>
      <c r="R2" s="265">
        <v>2032</v>
      </c>
      <c r="S2" s="266">
        <f>S4</f>
        <v>46112</v>
      </c>
      <c r="T2" s="266">
        <f t="shared" ref="T2" si="0">T4</f>
        <v>46387</v>
      </c>
    </row>
    <row r="3" spans="1:21" x14ac:dyDescent="0.3">
      <c r="A3" s="267"/>
    </row>
    <row r="4" spans="1:21" x14ac:dyDescent="0.3">
      <c r="B4" s="268" t="s">
        <v>170</v>
      </c>
      <c r="G4" s="269">
        <v>44561</v>
      </c>
      <c r="H4" s="270">
        <f>EOMONTH(G4,12)</f>
        <v>44926</v>
      </c>
      <c r="I4" s="270">
        <f t="shared" ref="I4:R4" si="1">EOMONTH(H4,12)</f>
        <v>45291</v>
      </c>
      <c r="J4" s="270">
        <f t="shared" si="1"/>
        <v>45657</v>
      </c>
      <c r="K4" s="270">
        <f t="shared" si="1"/>
        <v>46022</v>
      </c>
      <c r="L4" s="270">
        <f t="shared" si="1"/>
        <v>46387</v>
      </c>
      <c r="M4" s="270">
        <f t="shared" si="1"/>
        <v>46752</v>
      </c>
      <c r="N4" s="270">
        <f t="shared" si="1"/>
        <v>47118</v>
      </c>
      <c r="O4" s="270">
        <f t="shared" si="1"/>
        <v>47483</v>
      </c>
      <c r="P4" s="270">
        <f t="shared" si="1"/>
        <v>47848</v>
      </c>
      <c r="Q4" s="270">
        <f t="shared" si="1"/>
        <v>48213</v>
      </c>
      <c r="R4" s="270">
        <f t="shared" si="1"/>
        <v>48579</v>
      </c>
      <c r="S4" s="270">
        <f>EOMONTH(K4,12*S6)</f>
        <v>46112</v>
      </c>
      <c r="T4" s="270">
        <f>EOMONTH(S4,12*T6)</f>
        <v>46387</v>
      </c>
    </row>
    <row r="5" spans="1:21" x14ac:dyDescent="0.3">
      <c r="B5" s="268" t="s">
        <v>103</v>
      </c>
      <c r="G5" s="271">
        <v>365</v>
      </c>
      <c r="H5" s="272">
        <f>G5</f>
        <v>365</v>
      </c>
      <c r="I5" s="272">
        <f t="shared" ref="I5:R5" si="2">H5</f>
        <v>365</v>
      </c>
      <c r="J5" s="272">
        <f t="shared" si="2"/>
        <v>365</v>
      </c>
      <c r="K5" s="272">
        <f t="shared" si="2"/>
        <v>365</v>
      </c>
      <c r="L5" s="272">
        <f t="shared" si="2"/>
        <v>365</v>
      </c>
      <c r="M5" s="272">
        <f t="shared" si="2"/>
        <v>365</v>
      </c>
      <c r="N5" s="272">
        <f t="shared" si="2"/>
        <v>365</v>
      </c>
      <c r="O5" s="272">
        <f t="shared" si="2"/>
        <v>365</v>
      </c>
      <c r="P5" s="272">
        <f t="shared" si="2"/>
        <v>365</v>
      </c>
      <c r="Q5" s="272">
        <f t="shared" si="2"/>
        <v>365</v>
      </c>
      <c r="R5" s="272">
        <f t="shared" si="2"/>
        <v>365</v>
      </c>
      <c r="S5" s="273">
        <f>S6*365</f>
        <v>91.25</v>
      </c>
      <c r="T5" s="273">
        <f>T6*365</f>
        <v>273.75</v>
      </c>
    </row>
    <row r="6" spans="1:21" x14ac:dyDescent="0.3">
      <c r="B6" s="268" t="s">
        <v>171</v>
      </c>
      <c r="G6" s="418">
        <v>1</v>
      </c>
      <c r="H6" s="275">
        <f>YEARFRAC(G4,H4)</f>
        <v>1</v>
      </c>
      <c r="I6" s="275">
        <f t="shared" ref="I6:R6" si="3">YEARFRAC(H4,I4)</f>
        <v>1</v>
      </c>
      <c r="J6" s="275">
        <f t="shared" si="3"/>
        <v>1</v>
      </c>
      <c r="K6" s="275">
        <f t="shared" si="3"/>
        <v>1</v>
      </c>
      <c r="L6" s="275">
        <f t="shared" si="3"/>
        <v>1</v>
      </c>
      <c r="M6" s="275">
        <f t="shared" si="3"/>
        <v>1</v>
      </c>
      <c r="N6" s="275">
        <f t="shared" si="3"/>
        <v>1</v>
      </c>
      <c r="O6" s="275">
        <f t="shared" si="3"/>
        <v>1</v>
      </c>
      <c r="P6" s="275">
        <f t="shared" si="3"/>
        <v>1</v>
      </c>
      <c r="Q6" s="275">
        <f t="shared" si="3"/>
        <v>1</v>
      </c>
      <c r="R6" s="275">
        <f t="shared" si="3"/>
        <v>1</v>
      </c>
      <c r="S6" s="274">
        <f>'Transaction Details'!R22</f>
        <v>0.25</v>
      </c>
      <c r="T6" s="275">
        <f>1-S6</f>
        <v>0.75</v>
      </c>
    </row>
    <row r="7" spans="1:21" x14ac:dyDescent="0.3">
      <c r="B7" s="268"/>
      <c r="H7" s="276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77"/>
      <c r="T7" s="278"/>
    </row>
    <row r="8" spans="1:21" ht="18" x14ac:dyDescent="0.35">
      <c r="A8" s="279" t="s">
        <v>120</v>
      </c>
      <c r="B8" s="280" t="s">
        <v>172</v>
      </c>
      <c r="C8" s="281"/>
      <c r="D8" s="281"/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2"/>
      <c r="S8" s="282"/>
      <c r="T8" s="282"/>
    </row>
    <row r="10" spans="1:21" ht="15" thickBot="1" x14ac:dyDescent="0.35">
      <c r="B10" s="283" t="s">
        <v>2</v>
      </c>
      <c r="G10" s="42">
        <v>2021</v>
      </c>
      <c r="H10" s="42">
        <v>2022</v>
      </c>
      <c r="I10" s="42">
        <v>2023</v>
      </c>
      <c r="J10" s="42">
        <v>2024</v>
      </c>
      <c r="K10" s="43">
        <v>2025</v>
      </c>
      <c r="L10" s="43">
        <f t="shared" ref="L10:Q10" si="4">K10+1</f>
        <v>2026</v>
      </c>
      <c r="M10" s="43">
        <f t="shared" si="4"/>
        <v>2027</v>
      </c>
      <c r="N10" s="43">
        <f t="shared" si="4"/>
        <v>2028</v>
      </c>
      <c r="O10" s="43">
        <f t="shared" si="4"/>
        <v>2029</v>
      </c>
      <c r="P10" s="43">
        <f t="shared" si="4"/>
        <v>2030</v>
      </c>
      <c r="Q10" s="43">
        <f t="shared" si="4"/>
        <v>2031</v>
      </c>
      <c r="R10" s="43">
        <f>Q10+1</f>
        <v>2032</v>
      </c>
      <c r="S10" s="43">
        <f>$L10</f>
        <v>2026</v>
      </c>
      <c r="T10" s="43">
        <f t="shared" ref="T10" si="5">$L10</f>
        <v>2026</v>
      </c>
    </row>
    <row r="12" spans="1:21" x14ac:dyDescent="0.3">
      <c r="B12" s="284" t="s">
        <v>173</v>
      </c>
      <c r="G12" s="285">
        <v>1024.2</v>
      </c>
      <c r="H12" s="285">
        <v>1246.2</v>
      </c>
      <c r="I12" s="285">
        <v>1513.7</v>
      </c>
      <c r="J12" s="285">
        <v>1760</v>
      </c>
      <c r="K12" s="286">
        <f>K23+K40+K47</f>
        <v>1970.5821917882795</v>
      </c>
      <c r="L12" s="286">
        <f t="shared" ref="L12:R12" si="6">L23+L40+L47</f>
        <v>2231.5225279504043</v>
      </c>
      <c r="M12" s="286">
        <f t="shared" si="6"/>
        <v>2511.3004132436945</v>
      </c>
      <c r="N12" s="286">
        <f t="shared" si="6"/>
        <v>2808.6463751855026</v>
      </c>
      <c r="O12" s="286">
        <f t="shared" si="6"/>
        <v>3121.7891593875561</v>
      </c>
      <c r="P12" s="286">
        <f t="shared" si="6"/>
        <v>3448.4426181810036</v>
      </c>
      <c r="Q12" s="286">
        <f t="shared" si="6"/>
        <v>3785.8087055277388</v>
      </c>
      <c r="R12" s="286">
        <f t="shared" si="6"/>
        <v>4130.598438451706</v>
      </c>
      <c r="S12" s="286">
        <f>S23+S40+S47</f>
        <v>554.27197837051017</v>
      </c>
      <c r="T12" s="286">
        <f t="shared" ref="T12" si="7">T23+T40+T47</f>
        <v>1674.6328385790591</v>
      </c>
      <c r="U12" s="226"/>
    </row>
    <row r="13" spans="1:21" x14ac:dyDescent="0.3">
      <c r="B13" s="419" t="s">
        <v>174</v>
      </c>
      <c r="C13" s="268"/>
      <c r="D13" s="268"/>
      <c r="E13" s="268"/>
      <c r="F13" s="268"/>
      <c r="G13" s="268"/>
      <c r="H13" s="420">
        <f t="shared" ref="H13:R13" si="8">(H12-G12)/G12</f>
        <v>0.21675454012888107</v>
      </c>
      <c r="I13" s="420">
        <f t="shared" si="8"/>
        <v>0.21465254373294815</v>
      </c>
      <c r="J13" s="420">
        <f t="shared" si="8"/>
        <v>0.16271387989694122</v>
      </c>
      <c r="K13" s="420">
        <f t="shared" si="8"/>
        <v>0.11964897260697697</v>
      </c>
      <c r="L13" s="420">
        <f t="shared" si="8"/>
        <v>0.13241789012886829</v>
      </c>
      <c r="M13" s="420">
        <f t="shared" si="8"/>
        <v>0.12537533535467327</v>
      </c>
      <c r="N13" s="420">
        <f t="shared" si="8"/>
        <v>0.11840318281863553</v>
      </c>
      <c r="O13" s="420">
        <f t="shared" si="8"/>
        <v>0.11149242103551442</v>
      </c>
      <c r="P13" s="420">
        <f t="shared" si="8"/>
        <v>0.10463661769442865</v>
      </c>
      <c r="Q13" s="420">
        <f t="shared" si="8"/>
        <v>9.7831434273564985E-2</v>
      </c>
      <c r="R13" s="420">
        <f t="shared" si="8"/>
        <v>9.107426173449612E-2</v>
      </c>
    </row>
    <row r="14" spans="1:21" x14ac:dyDescent="0.3">
      <c r="B14" s="288"/>
      <c r="H14" s="289"/>
      <c r="I14" s="289"/>
      <c r="J14" s="289"/>
    </row>
    <row r="15" spans="1:21" x14ac:dyDescent="0.3">
      <c r="B15" s="290" t="s">
        <v>175</v>
      </c>
      <c r="H15" s="289"/>
      <c r="I15" s="289"/>
      <c r="J15" s="289"/>
    </row>
    <row r="16" spans="1:21" x14ac:dyDescent="0.3">
      <c r="H16" s="289"/>
      <c r="I16" s="289"/>
      <c r="J16" s="289"/>
    </row>
    <row r="17" spans="2:20" x14ac:dyDescent="0.3">
      <c r="B17" s="291" t="s">
        <v>176</v>
      </c>
      <c r="H17" s="289"/>
      <c r="I17" s="289"/>
      <c r="J17" s="289"/>
    </row>
    <row r="18" spans="2:20" x14ac:dyDescent="0.3">
      <c r="B18" s="292" t="s">
        <v>177</v>
      </c>
      <c r="H18" s="286">
        <f t="shared" ref="H18:R18" si="9">H26*H34/1000000</f>
        <v>809.6</v>
      </c>
      <c r="I18" s="286">
        <f t="shared" si="9"/>
        <v>967.39999999999986</v>
      </c>
      <c r="J18" s="286">
        <f t="shared" si="9"/>
        <v>1128.5999999999999</v>
      </c>
      <c r="K18" s="286">
        <f t="shared" si="9"/>
        <v>1317</v>
      </c>
      <c r="L18" s="286">
        <f t="shared" si="9"/>
        <v>1503.6443020731069</v>
      </c>
      <c r="M18" s="286">
        <f t="shared" si="9"/>
        <v>1705.9909121739931</v>
      </c>
      <c r="N18" s="286">
        <f t="shared" si="9"/>
        <v>1923.3982127354464</v>
      </c>
      <c r="O18" s="286">
        <f t="shared" si="9"/>
        <v>2154.8206164310959</v>
      </c>
      <c r="P18" s="286">
        <f t="shared" si="9"/>
        <v>2398.7824953714999</v>
      </c>
      <c r="Q18" s="286">
        <f t="shared" si="9"/>
        <v>2653.363561304262</v>
      </c>
      <c r="R18" s="286">
        <f t="shared" si="9"/>
        <v>2916.1978450168208</v>
      </c>
      <c r="S18" s="286">
        <f>$L18*S$6</f>
        <v>375.91107551827673</v>
      </c>
      <c r="T18" s="286">
        <f t="shared" ref="T18:T21" si="10">$L18*T$6</f>
        <v>1127.7332265548303</v>
      </c>
    </row>
    <row r="19" spans="2:20" x14ac:dyDescent="0.3">
      <c r="B19" s="292" t="s">
        <v>178</v>
      </c>
      <c r="H19" s="286">
        <f t="shared" ref="H19:R19" si="11">H35*H26/1000000</f>
        <v>67.565292841648429</v>
      </c>
      <c r="I19" s="286">
        <f t="shared" si="11"/>
        <v>90.585265133740137</v>
      </c>
      <c r="J19" s="286">
        <f t="shared" si="11"/>
        <v>95.888219895288074</v>
      </c>
      <c r="K19" s="286">
        <f t="shared" si="11"/>
        <v>115.04219245057823</v>
      </c>
      <c r="L19" s="286">
        <f t="shared" si="11"/>
        <v>123.32250790209051</v>
      </c>
      <c r="M19" s="286">
        <f t="shared" si="11"/>
        <v>130.81502086122191</v>
      </c>
      <c r="N19" s="286">
        <f t="shared" si="11"/>
        <v>137.22259532707724</v>
      </c>
      <c r="O19" s="286">
        <f t="shared" si="11"/>
        <v>142.23512469072242</v>
      </c>
      <c r="P19" s="286">
        <f t="shared" si="11"/>
        <v>145.53872779697136</v>
      </c>
      <c r="Q19" s="286">
        <f t="shared" si="11"/>
        <v>146.82641333466</v>
      </c>
      <c r="R19" s="286">
        <f t="shared" si="11"/>
        <v>145.80989225084105</v>
      </c>
      <c r="S19" s="286">
        <f t="shared" ref="S19:S21" si="12">$L19*S$6</f>
        <v>30.830626975522627</v>
      </c>
      <c r="T19" s="286">
        <f t="shared" si="10"/>
        <v>92.491880926567887</v>
      </c>
    </row>
    <row r="20" spans="2:20" x14ac:dyDescent="0.3">
      <c r="B20" s="292" t="s">
        <v>179</v>
      </c>
      <c r="H20" s="286" cm="1">
        <f t="array" ref="H20">SUM(-H18:H19,-H21,H23)</f>
        <v>90.234707158351398</v>
      </c>
      <c r="I20" s="286" cm="1">
        <f t="array" ref="I20">SUM(-I18:I19,-I21,I23)</f>
        <v>70.614734866259823</v>
      </c>
      <c r="J20" s="286" cm="1">
        <f t="array" ref="J20">SUM(-J18:J19,-J21,J23)</f>
        <v>92.511780104711988</v>
      </c>
      <c r="K20" s="286">
        <f t="shared" ref="K20:R20" si="13">K27*AVERAGE(K34,K36)/1000000</f>
        <v>96.216476735770257</v>
      </c>
      <c r="L20" s="286">
        <f t="shared" si="13"/>
        <v>107.33523812737045</v>
      </c>
      <c r="M20" s="286">
        <f t="shared" si="13"/>
        <v>118.93675123202341</v>
      </c>
      <c r="N20" s="286">
        <f t="shared" si="13"/>
        <v>130.9034821119333</v>
      </c>
      <c r="O20" s="286">
        <f t="shared" si="13"/>
        <v>143.09602577848656</v>
      </c>
      <c r="P20" s="286">
        <f t="shared" si="13"/>
        <v>155.35468829697049</v>
      </c>
      <c r="Q20" s="286">
        <f t="shared" si="13"/>
        <v>167.50200146111209</v>
      </c>
      <c r="R20" s="286">
        <f t="shared" si="13"/>
        <v>179.34616746853447</v>
      </c>
      <c r="S20" s="286">
        <f t="shared" si="12"/>
        <v>26.833809531842611</v>
      </c>
      <c r="T20" s="286">
        <f t="shared" si="10"/>
        <v>80.501428595527841</v>
      </c>
    </row>
    <row r="21" spans="2:20" x14ac:dyDescent="0.3">
      <c r="B21" s="292" t="s">
        <v>180</v>
      </c>
      <c r="H21" s="286">
        <f>Model!H28*AVERAGE(Model!H34,Model!H36)/1000000</f>
        <v>0</v>
      </c>
      <c r="I21" s="286">
        <f>Model!I28*AVERAGE(Model!I34,Model!I36)/1000000</f>
        <v>0</v>
      </c>
      <c r="J21" s="286">
        <f>Model!J28*AVERAGE(Model!J34,Model!J36)/1000000</f>
        <v>0</v>
      </c>
      <c r="K21" s="286">
        <f>Model!K28*AVERAGE(Model!K34,Model!K36)/1000000</f>
        <v>-27.49042192450581</v>
      </c>
      <c r="L21" s="286">
        <f>Model!L28*AVERAGE(Model!L34,Model!L36)/1000000</f>
        <v>-31.30611112048307</v>
      </c>
      <c r="M21" s="286">
        <f>Model!M28*AVERAGE(Model!M34,Model!M36)/1000000</f>
        <v>-35.427968452092109</v>
      </c>
      <c r="N21" s="286">
        <f>Model!N28*AVERAGE(Model!N34,Model!N36)/1000000</f>
        <v>-39.840190207979738</v>
      </c>
      <c r="O21" s="286">
        <f>Model!O28*AVERAGE(Model!O34,Model!O36)/1000000</f>
        <v>-44.518763575529192</v>
      </c>
      <c r="P21" s="286">
        <f>Model!P28*AVERAGE(Model!P34,Model!P36)/1000000</f>
        <v>-49.431037185399745</v>
      </c>
      <c r="Q21" s="286">
        <f>Model!Q28*AVERAGE(Model!Q34,Model!Q36)/1000000</f>
        <v>-54.53553535943189</v>
      </c>
      <c r="R21" s="286">
        <f>Model!R28*AVERAGE(Model!R34,Model!R36)/1000000</f>
        <v>-59.782055822844875</v>
      </c>
      <c r="S21" s="286">
        <f t="shared" si="12"/>
        <v>-7.8265277801207676</v>
      </c>
      <c r="T21" s="286">
        <f t="shared" si="10"/>
        <v>-23.479583340362304</v>
      </c>
    </row>
    <row r="23" spans="2:20" x14ac:dyDescent="0.3">
      <c r="B23" s="291" t="s">
        <v>181</v>
      </c>
      <c r="H23" s="224">
        <f>H57</f>
        <v>967.39999999999986</v>
      </c>
      <c r="I23" s="224">
        <f>I57</f>
        <v>1128.5999999999999</v>
      </c>
      <c r="J23" s="224">
        <f>J57</f>
        <v>1317</v>
      </c>
      <c r="K23" s="224">
        <f t="shared" ref="K23:T23" si="14">SUM(K18:K21)</f>
        <v>1500.7682472618426</v>
      </c>
      <c r="L23" s="224">
        <f t="shared" si="14"/>
        <v>1702.9959369820849</v>
      </c>
      <c r="M23" s="224">
        <f t="shared" si="14"/>
        <v>1920.3147158151464</v>
      </c>
      <c r="N23" s="224">
        <f t="shared" si="14"/>
        <v>2151.6840999664773</v>
      </c>
      <c r="O23" s="224">
        <f t="shared" si="14"/>
        <v>2395.6330033247755</v>
      </c>
      <c r="P23" s="224">
        <f t="shared" si="14"/>
        <v>2650.2448742800416</v>
      </c>
      <c r="Q23" s="224">
        <f t="shared" si="14"/>
        <v>2913.1564407406026</v>
      </c>
      <c r="R23" s="224">
        <f t="shared" si="14"/>
        <v>3181.5718489133515</v>
      </c>
      <c r="S23" s="224">
        <f t="shared" si="14"/>
        <v>425.74898424552123</v>
      </c>
      <c r="T23" s="224">
        <f t="shared" si="14"/>
        <v>1277.2469527365636</v>
      </c>
    </row>
    <row r="24" spans="2:20" x14ac:dyDescent="0.3">
      <c r="B24" s="293" t="s">
        <v>126</v>
      </c>
      <c r="H24" s="289"/>
      <c r="I24" s="294">
        <f t="shared" ref="I24:R24" si="15">(I23-H23)/H23</f>
        <v>0.16663221004755022</v>
      </c>
      <c r="J24" s="294">
        <f t="shared" si="15"/>
        <v>0.16693248272195649</v>
      </c>
      <c r="K24" s="294">
        <f t="shared" si="15"/>
        <v>0.13953549526335807</v>
      </c>
      <c r="L24" s="294">
        <f t="shared" si="15"/>
        <v>0.13474944588493762</v>
      </c>
      <c r="M24" s="294">
        <f t="shared" si="15"/>
        <v>0.12760968720699165</v>
      </c>
      <c r="N24" s="294">
        <f t="shared" si="15"/>
        <v>0.12048513831917279</v>
      </c>
      <c r="O24" s="294">
        <f t="shared" si="15"/>
        <v>0.11337579868815259</v>
      </c>
      <c r="P24" s="294">
        <f t="shared" si="15"/>
        <v>0.10628166776877068</v>
      </c>
      <c r="Q24" s="294">
        <f t="shared" si="15"/>
        <v>9.9202745003698162E-2</v>
      </c>
      <c r="R24" s="294">
        <f t="shared" si="15"/>
        <v>9.2139029823098142E-2</v>
      </c>
    </row>
    <row r="25" spans="2:20" x14ac:dyDescent="0.3">
      <c r="B25" s="287"/>
      <c r="H25" s="289"/>
      <c r="J25" s="289"/>
    </row>
    <row r="26" spans="2:20" x14ac:dyDescent="0.3">
      <c r="B26" s="287" t="s">
        <v>182</v>
      </c>
      <c r="G26" s="285">
        <v>4906</v>
      </c>
      <c r="H26" s="285">
        <v>5434</v>
      </c>
      <c r="I26" s="285">
        <v>5993</v>
      </c>
      <c r="J26" s="285">
        <v>6393</v>
      </c>
      <c r="K26" s="286">
        <f t="shared" ref="K26:R26" si="16">J29</f>
        <v>6876</v>
      </c>
      <c r="L26" s="286">
        <f t="shared" si="16"/>
        <v>7219.7999999999993</v>
      </c>
      <c r="M26" s="286">
        <f t="shared" si="16"/>
        <v>7570.4759999999997</v>
      </c>
      <c r="N26" s="286">
        <f t="shared" si="16"/>
        <v>7927.369868571428</v>
      </c>
      <c r="O26" s="286">
        <f t="shared" si="16"/>
        <v>8289.7639197061217</v>
      </c>
      <c r="P26" s="286">
        <f t="shared" si="16"/>
        <v>8656.8820361502512</v>
      </c>
      <c r="Q26" s="286">
        <f t="shared" si="16"/>
        <v>9027.8912662709754</v>
      </c>
      <c r="R26" s="286">
        <f t="shared" si="16"/>
        <v>9401.9039044450601</v>
      </c>
      <c r="S26" s="286">
        <f>K29</f>
        <v>7219.7999999999993</v>
      </c>
      <c r="T26" s="286">
        <f>S29</f>
        <v>7307.4689999999991</v>
      </c>
    </row>
    <row r="27" spans="2:20" x14ac:dyDescent="0.3">
      <c r="B27" s="287" t="s">
        <v>183</v>
      </c>
      <c r="G27" s="286">
        <f>G29-G26</f>
        <v>528</v>
      </c>
      <c r="H27" s="286">
        <f>H29-H26</f>
        <v>559</v>
      </c>
      <c r="I27" s="286">
        <f>I29-I26</f>
        <v>400</v>
      </c>
      <c r="J27" s="286">
        <f>J29-J26</f>
        <v>483</v>
      </c>
      <c r="K27" s="227">
        <f>K26*'Inputs and Drivers'!K23</f>
        <v>481.32000000000005</v>
      </c>
      <c r="L27" s="227">
        <f>L26*'Inputs and Drivers'!L23</f>
        <v>495.072</v>
      </c>
      <c r="M27" s="227">
        <f>M26*'Inputs and Drivers'!M23</f>
        <v>508.30338857142857</v>
      </c>
      <c r="N27" s="227">
        <f>N26*'Inputs and Drivers'!N23</f>
        <v>520.94144850612236</v>
      </c>
      <c r="O27" s="227">
        <f>O26*'Inputs and Drivers'!O23</f>
        <v>532.91339483825061</v>
      </c>
      <c r="P27" s="227">
        <f>P26*'Inputs and Drivers'!P23</f>
        <v>544.14687084372997</v>
      </c>
      <c r="Q27" s="227">
        <f>Q26*'Inputs and Drivers'!Q23</f>
        <v>554.57046349950269</v>
      </c>
      <c r="R27" s="227">
        <f>R26*'Inputs and Drivers'!R23</f>
        <v>564.11423426670353</v>
      </c>
      <c r="S27" s="286">
        <f>$L27*S$6</f>
        <v>123.768</v>
      </c>
      <c r="T27" s="286">
        <f>$L27*T$6</f>
        <v>371.30399999999997</v>
      </c>
    </row>
    <row r="28" spans="2:20" x14ac:dyDescent="0.3">
      <c r="B28" s="287" t="s">
        <v>184</v>
      </c>
      <c r="G28" s="285"/>
      <c r="H28" s="285"/>
      <c r="I28" s="285"/>
      <c r="J28" s="285"/>
      <c r="K28" s="227">
        <f>K26*'Inputs and Drivers'!K13*-1</f>
        <v>-137.52000000000012</v>
      </c>
      <c r="L28" s="227">
        <f>L26*'Inputs and Drivers'!L13*-1</f>
        <v>-144.3960000000001</v>
      </c>
      <c r="M28" s="227">
        <f>M26*'Inputs and Drivers'!M13*-1</f>
        <v>-151.40952000000013</v>
      </c>
      <c r="N28" s="227">
        <f>N26*'Inputs and Drivers'!N13*-1</f>
        <v>-158.5473973714287</v>
      </c>
      <c r="O28" s="227">
        <f>O26*'Inputs and Drivers'!O13*-1</f>
        <v>-165.79527839412259</v>
      </c>
      <c r="P28" s="227">
        <f>P26*'Inputs and Drivers'!P13*-1</f>
        <v>-173.13764072300518</v>
      </c>
      <c r="Q28" s="227">
        <f>Q26*'Inputs and Drivers'!Q13*-1</f>
        <v>-180.55782532541966</v>
      </c>
      <c r="R28" s="227">
        <f>R26*'Inputs and Drivers'!R13*-1</f>
        <v>-188.03807808890136</v>
      </c>
      <c r="S28" s="286">
        <f>$L28*S$6</f>
        <v>-36.099000000000025</v>
      </c>
      <c r="T28" s="286">
        <f>$L28*T$6</f>
        <v>-108.29700000000008</v>
      </c>
    </row>
    <row r="29" spans="2:20" x14ac:dyDescent="0.3">
      <c r="B29" s="287" t="s">
        <v>185</v>
      </c>
      <c r="G29" s="285">
        <v>5434</v>
      </c>
      <c r="H29" s="285">
        <v>5993</v>
      </c>
      <c r="I29" s="285">
        <v>6393</v>
      </c>
      <c r="J29" s="285">
        <v>6876</v>
      </c>
      <c r="K29" s="286">
        <f t="shared" ref="K29:R29" si="17">SUM(K26:K28)</f>
        <v>7219.7999999999993</v>
      </c>
      <c r="L29" s="286">
        <f t="shared" si="17"/>
        <v>7570.4759999999997</v>
      </c>
      <c r="M29" s="286">
        <f t="shared" si="17"/>
        <v>7927.369868571428</v>
      </c>
      <c r="N29" s="286">
        <f t="shared" si="17"/>
        <v>8289.7639197061217</v>
      </c>
      <c r="O29" s="286">
        <f t="shared" si="17"/>
        <v>8656.8820361502512</v>
      </c>
      <c r="P29" s="286">
        <f t="shared" si="17"/>
        <v>9027.8912662709754</v>
      </c>
      <c r="Q29" s="286">
        <f t="shared" si="17"/>
        <v>9401.9039044450601</v>
      </c>
      <c r="R29" s="286">
        <f t="shared" si="17"/>
        <v>9777.9800606228619</v>
      </c>
      <c r="S29" s="286">
        <f>SUM(S26:S28)</f>
        <v>7307.4689999999991</v>
      </c>
      <c r="T29" s="286">
        <f>SUM(T26:T28)</f>
        <v>7570.4759999999987</v>
      </c>
    </row>
    <row r="30" spans="2:20" x14ac:dyDescent="0.3">
      <c r="B30" s="295" t="s">
        <v>186</v>
      </c>
      <c r="G30" s="296">
        <f>AVERAGE(G26,G29)</f>
        <v>5170</v>
      </c>
      <c r="H30" s="296">
        <f>AVERAGE(H26,H29)</f>
        <v>5713.5</v>
      </c>
      <c r="I30" s="296">
        <f t="shared" ref="I30:T30" si="18">AVERAGE(I26,I29)</f>
        <v>6193</v>
      </c>
      <c r="J30" s="296">
        <f t="shared" si="18"/>
        <v>6634.5</v>
      </c>
      <c r="K30" s="296">
        <f t="shared" si="18"/>
        <v>7047.9</v>
      </c>
      <c r="L30" s="296">
        <f t="shared" si="18"/>
        <v>7395.137999999999</v>
      </c>
      <c r="M30" s="296">
        <f t="shared" si="18"/>
        <v>7748.9229342857143</v>
      </c>
      <c r="N30" s="296">
        <f t="shared" si="18"/>
        <v>8108.5668941387748</v>
      </c>
      <c r="O30" s="296">
        <f t="shared" si="18"/>
        <v>8473.3229779281864</v>
      </c>
      <c r="P30" s="296">
        <f t="shared" si="18"/>
        <v>8842.3866512106142</v>
      </c>
      <c r="Q30" s="296">
        <f t="shared" si="18"/>
        <v>9214.8975853580177</v>
      </c>
      <c r="R30" s="296">
        <f t="shared" si="18"/>
        <v>9589.941982533961</v>
      </c>
      <c r="S30" s="296">
        <f t="shared" si="18"/>
        <v>7263.6344999999992</v>
      </c>
      <c r="T30" s="296">
        <f t="shared" si="18"/>
        <v>7438.9724999999989</v>
      </c>
    </row>
    <row r="31" spans="2:20" x14ac:dyDescent="0.3">
      <c r="B31" s="287"/>
      <c r="H31" s="289"/>
      <c r="I31" s="289"/>
      <c r="J31" s="289"/>
    </row>
    <row r="32" spans="2:20" x14ac:dyDescent="0.3">
      <c r="B32" s="287" t="s">
        <v>187</v>
      </c>
      <c r="G32" s="297">
        <v>0.96799999999999997</v>
      </c>
      <c r="H32" s="297">
        <v>0.97099999999999997</v>
      </c>
      <c r="I32" s="297">
        <v>0.97099999999999997</v>
      </c>
      <c r="J32" s="297">
        <v>0.98</v>
      </c>
      <c r="K32" s="414">
        <f>1-'Inputs and Drivers'!K13</f>
        <v>0.98</v>
      </c>
      <c r="L32" s="369">
        <f>1-'Inputs and Drivers'!L13</f>
        <v>0.98</v>
      </c>
      <c r="M32" s="369">
        <f>1-'Inputs and Drivers'!M13</f>
        <v>0.98</v>
      </c>
      <c r="N32" s="369">
        <f>1-'Inputs and Drivers'!N13</f>
        <v>0.98</v>
      </c>
      <c r="O32" s="369">
        <f>1-'Inputs and Drivers'!O13</f>
        <v>0.98</v>
      </c>
      <c r="P32" s="369">
        <f>1-'Inputs and Drivers'!P13</f>
        <v>0.98</v>
      </c>
      <c r="Q32" s="369">
        <f>1-'Inputs and Drivers'!Q13</f>
        <v>0.98</v>
      </c>
      <c r="R32" s="369">
        <f>1-'Inputs and Drivers'!R13</f>
        <v>0.98</v>
      </c>
    </row>
    <row r="33" spans="2:23" x14ac:dyDescent="0.3">
      <c r="B33" s="287"/>
      <c r="H33" s="289"/>
      <c r="I33" s="289"/>
      <c r="J33" s="289"/>
    </row>
    <row r="34" spans="2:23" x14ac:dyDescent="0.3">
      <c r="B34" s="287" t="s">
        <v>188</v>
      </c>
      <c r="G34" s="299"/>
      <c r="H34" s="286">
        <f t="shared" ref="H34:R34" si="19">G36</f>
        <v>148987.85425101215</v>
      </c>
      <c r="I34" s="286">
        <f t="shared" si="19"/>
        <v>161421.65860170196</v>
      </c>
      <c r="J34" s="286">
        <f t="shared" si="19"/>
        <v>176536.83716564992</v>
      </c>
      <c r="K34" s="286">
        <f t="shared" si="19"/>
        <v>191535.77661431066</v>
      </c>
      <c r="L34" s="286">
        <f t="shared" si="19"/>
        <v>208266.75282876357</v>
      </c>
      <c r="M34" s="286">
        <f t="shared" si="19"/>
        <v>225347.905755727</v>
      </c>
      <c r="N34" s="286">
        <f t="shared" si="19"/>
        <v>242627.53531418831</v>
      </c>
      <c r="O34" s="286">
        <f t="shared" si="19"/>
        <v>259937.51297413139</v>
      </c>
      <c r="P34" s="286">
        <f t="shared" si="19"/>
        <v>277095.43521032517</v>
      </c>
      <c r="Q34" s="286">
        <f t="shared" si="19"/>
        <v>293907.34591780812</v>
      </c>
      <c r="R34" s="286">
        <f t="shared" si="19"/>
        <v>310170.99032868142</v>
      </c>
      <c r="S34" s="226">
        <f>K36</f>
        <v>208266.75282876357</v>
      </c>
      <c r="T34" s="226">
        <f>S36</f>
        <v>212537.04106050442</v>
      </c>
      <c r="W34" s="300"/>
    </row>
    <row r="35" spans="2:23" x14ac:dyDescent="0.3">
      <c r="B35" s="287" t="s">
        <v>189</v>
      </c>
      <c r="G35" s="301"/>
      <c r="H35" s="286">
        <f>H36-H34</f>
        <v>12433.80435068981</v>
      </c>
      <c r="I35" s="286">
        <f>I36-I34</f>
        <v>15115.178563947964</v>
      </c>
      <c r="J35" s="286">
        <f>J36-J34</f>
        <v>14998.939448660734</v>
      </c>
      <c r="K35" s="227">
        <f>'Inputs and Drivers'!K15*K34</f>
        <v>16730.976214452912</v>
      </c>
      <c r="L35" s="227">
        <f>'Inputs and Drivers'!L15*L34</f>
        <v>17081.152926963423</v>
      </c>
      <c r="M35" s="227">
        <f>'Inputs and Drivers'!M15*M34</f>
        <v>17279.629558461307</v>
      </c>
      <c r="N35" s="227">
        <f>'Inputs and Drivers'!N15*N34</f>
        <v>17309.97765994307</v>
      </c>
      <c r="O35" s="227">
        <f>'Inputs and Drivers'!O15*O34</f>
        <v>17157.922236193761</v>
      </c>
      <c r="P35" s="227">
        <f>'Inputs and Drivers'!P15*P34</f>
        <v>16811.910707482966</v>
      </c>
      <c r="Q35" s="227">
        <f>'Inputs and Drivers'!Q15*Q34</f>
        <v>16263.644410873319</v>
      </c>
      <c r="R35" s="227">
        <f>'Inputs and Drivers'!R15*R34</f>
        <v>15508.549516434072</v>
      </c>
      <c r="S35" s="226">
        <f>$L35*S$6</f>
        <v>4270.2882317408557</v>
      </c>
      <c r="T35" s="226">
        <f>$L35*T$6</f>
        <v>12810.864695222568</v>
      </c>
      <c r="W35" s="300"/>
    </row>
    <row r="36" spans="2:23" x14ac:dyDescent="0.3">
      <c r="B36" s="287" t="s">
        <v>190</v>
      </c>
      <c r="G36" s="286">
        <f>G57*1000000/G29</f>
        <v>148987.85425101215</v>
      </c>
      <c r="H36" s="286">
        <f>H57*1000000/H29</f>
        <v>161421.65860170196</v>
      </c>
      <c r="I36" s="286">
        <f>I57*1000000/I29</f>
        <v>176536.83716564992</v>
      </c>
      <c r="J36" s="286">
        <f>J57*1000000/J29</f>
        <v>191535.77661431066</v>
      </c>
      <c r="K36" s="286">
        <f t="shared" ref="K36:R36" si="20">SUM(K34:K35)</f>
        <v>208266.75282876357</v>
      </c>
      <c r="L36" s="286">
        <f t="shared" si="20"/>
        <v>225347.905755727</v>
      </c>
      <c r="M36" s="286">
        <f t="shared" si="20"/>
        <v>242627.53531418831</v>
      </c>
      <c r="N36" s="286">
        <f t="shared" si="20"/>
        <v>259937.51297413139</v>
      </c>
      <c r="O36" s="286">
        <f t="shared" si="20"/>
        <v>277095.43521032517</v>
      </c>
      <c r="P36" s="286">
        <f t="shared" si="20"/>
        <v>293907.34591780812</v>
      </c>
      <c r="Q36" s="286">
        <f t="shared" si="20"/>
        <v>310170.99032868142</v>
      </c>
      <c r="R36" s="286">
        <f t="shared" si="20"/>
        <v>325679.53984511551</v>
      </c>
      <c r="S36" s="226">
        <f>SUM(S34:S35)</f>
        <v>212537.04106050442</v>
      </c>
      <c r="T36" s="226">
        <f>SUM(T34:T35)</f>
        <v>225347.90575572697</v>
      </c>
      <c r="W36" s="300"/>
    </row>
    <row r="37" spans="2:23" x14ac:dyDescent="0.3">
      <c r="B37" s="287"/>
      <c r="H37" s="289"/>
      <c r="I37" s="289"/>
      <c r="J37" s="289"/>
      <c r="W37" s="300"/>
    </row>
    <row r="38" spans="2:23" x14ac:dyDescent="0.3">
      <c r="B38" s="287"/>
      <c r="H38" s="289"/>
      <c r="I38" s="289"/>
      <c r="J38" s="289"/>
      <c r="W38" s="300"/>
    </row>
    <row r="39" spans="2:23" x14ac:dyDescent="0.3">
      <c r="H39" s="289"/>
      <c r="I39" s="289"/>
      <c r="J39" s="289"/>
      <c r="W39" s="292"/>
    </row>
    <row r="40" spans="2:23" x14ac:dyDescent="0.3">
      <c r="B40" s="291" t="s">
        <v>137</v>
      </c>
      <c r="G40" s="302">
        <f>29.7+8.1+3.3</f>
        <v>41.099999999999994</v>
      </c>
      <c r="H40" s="302">
        <f>62.4+12.5+5.3</f>
        <v>80.2</v>
      </c>
      <c r="I40" s="302">
        <v>168.7</v>
      </c>
      <c r="J40" s="302">
        <v>200.3</v>
      </c>
      <c r="K40" s="303">
        <f t="shared" ref="K40:R40" si="21">K41*K44</f>
        <v>196.86599281379659</v>
      </c>
      <c r="L40" s="303">
        <f t="shared" si="21"/>
        <v>222.9037979154441</v>
      </c>
      <c r="M40" s="303">
        <f t="shared" si="21"/>
        <v>250.9910243455646</v>
      </c>
      <c r="N40" s="303">
        <f t="shared" si="21"/>
        <v>281.18951728239688</v>
      </c>
      <c r="O40" s="303">
        <f t="shared" si="21"/>
        <v>313.55407380592624</v>
      </c>
      <c r="P40" s="303">
        <f t="shared" si="21"/>
        <v>348.13152935957254</v>
      </c>
      <c r="Q40" s="303">
        <f t="shared" si="21"/>
        <v>384.95984919737759</v>
      </c>
      <c r="R40" s="303">
        <f t="shared" si="21"/>
        <v>424.06723446765176</v>
      </c>
      <c r="S40" s="303">
        <f>S41*S44*S$6</f>
        <v>52.117295861770067</v>
      </c>
      <c r="T40" s="303">
        <f t="shared" ref="T40" si="22">T41*T44*T$6</f>
        <v>168.168791052839</v>
      </c>
      <c r="U40" s="226"/>
      <c r="W40" s="300"/>
    </row>
    <row r="41" spans="2:23" x14ac:dyDescent="0.3">
      <c r="B41" s="300" t="s">
        <v>191</v>
      </c>
      <c r="G41" s="285">
        <v>3889.5</v>
      </c>
      <c r="H41" s="285">
        <v>4370.7</v>
      </c>
      <c r="I41" s="285">
        <v>4500</v>
      </c>
      <c r="J41" s="285">
        <v>4880</v>
      </c>
      <c r="K41" s="286">
        <f t="shared" ref="K41:T41" si="23">K42*K43</f>
        <v>5249.7598083679095</v>
      </c>
      <c r="L41" s="286">
        <f t="shared" si="23"/>
        <v>5883.5844095328384</v>
      </c>
      <c r="M41" s="286">
        <f t="shared" si="23"/>
        <v>6558.1827936504369</v>
      </c>
      <c r="N41" s="286">
        <f t="shared" si="23"/>
        <v>7273.9342977707975</v>
      </c>
      <c r="O41" s="286">
        <f t="shared" si="23"/>
        <v>8031.0227465842781</v>
      </c>
      <c r="P41" s="286">
        <f t="shared" si="23"/>
        <v>8829.4228460761133</v>
      </c>
      <c r="Q41" s="286">
        <f t="shared" si="23"/>
        <v>9668.8874932961699</v>
      </c>
      <c r="R41" s="286">
        <f t="shared" si="23"/>
        <v>10548.936180787357</v>
      </c>
      <c r="S41" s="286">
        <f t="shared" si="23"/>
        <v>5502.5802568988001</v>
      </c>
      <c r="T41" s="286">
        <f t="shared" si="23"/>
        <v>5918.4592125182144</v>
      </c>
      <c r="W41" s="292"/>
    </row>
    <row r="42" spans="2:23" x14ac:dyDescent="0.3">
      <c r="B42" s="292" t="s">
        <v>186</v>
      </c>
      <c r="F42" s="304"/>
      <c r="G42" s="286">
        <f t="shared" ref="G42:R42" si="24">AVERAGE(G26,G29)</f>
        <v>5170</v>
      </c>
      <c r="H42" s="286">
        <f t="shared" si="24"/>
        <v>5713.5</v>
      </c>
      <c r="I42" s="286">
        <f t="shared" si="24"/>
        <v>6193</v>
      </c>
      <c r="J42" s="286">
        <f t="shared" si="24"/>
        <v>6634.5</v>
      </c>
      <c r="K42" s="286">
        <f t="shared" si="24"/>
        <v>7047.9</v>
      </c>
      <c r="L42" s="286">
        <f t="shared" si="24"/>
        <v>7395.137999999999</v>
      </c>
      <c r="M42" s="286">
        <f t="shared" si="24"/>
        <v>7748.9229342857143</v>
      </c>
      <c r="N42" s="286">
        <f t="shared" si="24"/>
        <v>8108.5668941387748</v>
      </c>
      <c r="O42" s="286">
        <f t="shared" si="24"/>
        <v>8473.3229779281864</v>
      </c>
      <c r="P42" s="286">
        <f t="shared" si="24"/>
        <v>8842.3866512106142</v>
      </c>
      <c r="Q42" s="286">
        <f t="shared" si="24"/>
        <v>9214.8975853580177</v>
      </c>
      <c r="R42" s="286">
        <f t="shared" si="24"/>
        <v>9589.941982533961</v>
      </c>
      <c r="S42" s="226">
        <f>S30</f>
        <v>7263.6344999999992</v>
      </c>
      <c r="T42" s="226">
        <f>T30</f>
        <v>7438.9724999999989</v>
      </c>
    </row>
    <row r="43" spans="2:23" x14ac:dyDescent="0.3">
      <c r="B43" s="292" t="s">
        <v>192</v>
      </c>
      <c r="G43" s="305">
        <f>G41/G42</f>
        <v>0.75232108317214696</v>
      </c>
      <c r="H43" s="305">
        <f>H41/H42</f>
        <v>0.76497768443160929</v>
      </c>
      <c r="I43" s="305">
        <f>I41/I42</f>
        <v>0.72662683675117068</v>
      </c>
      <c r="J43" s="305">
        <f>J41/J42</f>
        <v>0.73554902404099787</v>
      </c>
      <c r="K43" s="306">
        <f>'Inputs and Drivers'!K37</f>
        <v>0.7448686570989812</v>
      </c>
      <c r="L43" s="306">
        <f>'Inputs and Drivers'!L37</f>
        <v>0.79560170608484104</v>
      </c>
      <c r="M43" s="306">
        <f>'Inputs and Drivers'!M37</f>
        <v>0.84633475507070088</v>
      </c>
      <c r="N43" s="306">
        <f>'Inputs and Drivers'!N37</f>
        <v>0.89706780405656072</v>
      </c>
      <c r="O43" s="306">
        <f>'Inputs and Drivers'!O37</f>
        <v>0.94780085304242057</v>
      </c>
      <c r="P43" s="306">
        <f>'Inputs and Drivers'!P37</f>
        <v>0.99853390202828041</v>
      </c>
      <c r="Q43" s="306">
        <f>'Inputs and Drivers'!Q37</f>
        <v>1.0492669510141401</v>
      </c>
      <c r="R43" s="306">
        <f>'Inputs and Drivers'!R37</f>
        <v>1.1000000000000001</v>
      </c>
      <c r="S43" s="307">
        <f>K43+($L$43-$K$43)*S6</f>
        <v>0.75755191934544619</v>
      </c>
      <c r="T43" s="307">
        <f>S43+($L$43-$K$43)*T6</f>
        <v>0.79560170608484104</v>
      </c>
      <c r="U43"/>
    </row>
    <row r="44" spans="2:23" x14ac:dyDescent="0.3">
      <c r="B44" s="300" t="s">
        <v>139</v>
      </c>
      <c r="G44" s="308">
        <f>G40/G41</f>
        <v>1.0566910913999228E-2</v>
      </c>
      <c r="H44" s="308">
        <f>H40/H41</f>
        <v>1.8349463472670285E-2</v>
      </c>
      <c r="I44" s="308">
        <f>I40/I41</f>
        <v>3.7488888888888884E-2</v>
      </c>
      <c r="J44" s="308">
        <f>J40/J41</f>
        <v>4.1045081967213119E-2</v>
      </c>
      <c r="K44" s="309">
        <f>'Inputs and Drivers'!K42</f>
        <v>3.7499999999999999E-2</v>
      </c>
      <c r="L44" s="309">
        <f>'Inputs and Drivers'!L42</f>
        <v>3.7885714285714286E-2</v>
      </c>
      <c r="M44" s="309">
        <f>'Inputs and Drivers'!M42</f>
        <v>3.8271428571428574E-2</v>
      </c>
      <c r="N44" s="309">
        <f>'Inputs and Drivers'!N42</f>
        <v>3.8657142857142862E-2</v>
      </c>
      <c r="O44" s="309">
        <f>'Inputs and Drivers'!O42</f>
        <v>3.904285714285715E-2</v>
      </c>
      <c r="P44" s="309">
        <f>'Inputs and Drivers'!P42</f>
        <v>3.9428571428571438E-2</v>
      </c>
      <c r="Q44" s="309">
        <f>'Inputs and Drivers'!Q42</f>
        <v>3.9814285714285726E-2</v>
      </c>
      <c r="R44" s="309">
        <f>'Inputs and Drivers'!R42</f>
        <v>4.02E-2</v>
      </c>
      <c r="S44" s="310">
        <f>$L44</f>
        <v>3.7885714285714286E-2</v>
      </c>
      <c r="T44" s="310">
        <f>$L44</f>
        <v>3.7885714285714286E-2</v>
      </c>
    </row>
    <row r="45" spans="2:23" x14ac:dyDescent="0.3">
      <c r="B45" s="293" t="s">
        <v>126</v>
      </c>
      <c r="H45" s="409">
        <f t="shared" ref="H45:R45" si="25">(H40-G40)/G40</f>
        <v>0.95133819951338239</v>
      </c>
      <c r="I45" s="409">
        <f t="shared" si="25"/>
        <v>1.1034912718204486</v>
      </c>
      <c r="J45" s="409">
        <f t="shared" si="25"/>
        <v>0.18731475992886795</v>
      </c>
      <c r="K45" s="409">
        <f t="shared" si="25"/>
        <v>-1.7144319451839321E-2</v>
      </c>
      <c r="L45" s="409">
        <f t="shared" si="25"/>
        <v>0.13226156904750463</v>
      </c>
      <c r="M45" s="409">
        <f t="shared" si="25"/>
        <v>0.12600604697087778</v>
      </c>
      <c r="N45" s="409">
        <f t="shared" si="25"/>
        <v>0.12031702335002617</v>
      </c>
      <c r="O45" s="409">
        <f t="shared" si="25"/>
        <v>0.11509873069352666</v>
      </c>
      <c r="P45" s="409">
        <f t="shared" si="25"/>
        <v>0.11027589319425637</v>
      </c>
      <c r="Q45" s="409">
        <f t="shared" si="25"/>
        <v>0.1057885216704012</v>
      </c>
      <c r="R45" s="409">
        <f t="shared" si="25"/>
        <v>0.10158821849034684</v>
      </c>
    </row>
    <row r="47" spans="2:23" x14ac:dyDescent="0.3">
      <c r="B47" s="291" t="s">
        <v>193</v>
      </c>
      <c r="G47" s="302">
        <f>160.2+13.3</f>
        <v>173.5</v>
      </c>
      <c r="H47" s="302">
        <f>182.4+16.2</f>
        <v>198.6</v>
      </c>
      <c r="I47" s="302">
        <v>216.4</v>
      </c>
      <c r="J47" s="302">
        <v>242.7</v>
      </c>
      <c r="K47" s="303">
        <f t="shared" ref="K47:R47" si="26">K48*K23</f>
        <v>272.94795171264036</v>
      </c>
      <c r="L47" s="303">
        <f t="shared" si="26"/>
        <v>305.62279305287547</v>
      </c>
      <c r="M47" s="303">
        <f t="shared" si="26"/>
        <v>339.99467308298318</v>
      </c>
      <c r="N47" s="303">
        <f t="shared" si="26"/>
        <v>375.77275793662841</v>
      </c>
      <c r="O47" s="303">
        <f t="shared" si="26"/>
        <v>412.60208225685454</v>
      </c>
      <c r="P47" s="303">
        <f t="shared" si="26"/>
        <v>450.06621454138929</v>
      </c>
      <c r="Q47" s="303">
        <f t="shared" si="26"/>
        <v>487.69241558975881</v>
      </c>
      <c r="R47" s="303">
        <f t="shared" si="26"/>
        <v>524.95935507070305</v>
      </c>
      <c r="S47" s="303">
        <f>$L47*S$6</f>
        <v>76.405698263218866</v>
      </c>
      <c r="T47" s="303">
        <f t="shared" ref="T47" si="27">$L47*T$6</f>
        <v>229.21709478965658</v>
      </c>
    </row>
    <row r="48" spans="2:23" x14ac:dyDescent="0.3">
      <c r="B48" s="300" t="s">
        <v>141</v>
      </c>
      <c r="C48" s="311"/>
      <c r="D48" s="311"/>
      <c r="E48" s="311"/>
      <c r="G48" s="410">
        <f>G47/G57</f>
        <v>0.21430335968379446</v>
      </c>
      <c r="H48" s="410">
        <f>H47/H57</f>
        <v>0.20529253669629938</v>
      </c>
      <c r="I48" s="410">
        <f>I47/I57</f>
        <v>0.19174198121566544</v>
      </c>
      <c r="J48" s="410">
        <f>J47/J57</f>
        <v>0.18428246013667426</v>
      </c>
      <c r="K48" s="411">
        <f>'Inputs and Drivers'!K49</f>
        <v>0.18187215261958997</v>
      </c>
      <c r="L48" s="411">
        <f>'Inputs and Drivers'!L49</f>
        <v>0.17946184510250568</v>
      </c>
      <c r="M48" s="411">
        <f>'Inputs and Drivers'!M49</f>
        <v>0.17705153758542139</v>
      </c>
      <c r="N48" s="411">
        <f>'Inputs and Drivers'!N49</f>
        <v>0.17464123006833709</v>
      </c>
      <c r="O48" s="411">
        <f>'Inputs and Drivers'!O49</f>
        <v>0.1722309225512528</v>
      </c>
      <c r="P48" s="411">
        <f>'Inputs and Drivers'!P49</f>
        <v>0.16982061503416851</v>
      </c>
      <c r="Q48" s="411">
        <f>'Inputs and Drivers'!Q49</f>
        <v>0.16741030751708422</v>
      </c>
      <c r="R48" s="411">
        <f>'Inputs and Drivers'!R49</f>
        <v>0.16500000000000001</v>
      </c>
    </row>
    <row r="49" spans="1:21" x14ac:dyDescent="0.3">
      <c r="B49" s="293" t="s">
        <v>126</v>
      </c>
      <c r="G49" s="312"/>
      <c r="H49" s="409">
        <f>(H47-G47)/G47</f>
        <v>0.14466858789625356</v>
      </c>
      <c r="I49" s="409">
        <f t="shared" ref="I49:J49" si="28">(I47-H47)/H47</f>
        <v>8.9627391742195431E-2</v>
      </c>
      <c r="J49" s="409">
        <f t="shared" si="28"/>
        <v>0.12153419593345648</v>
      </c>
      <c r="K49" s="409">
        <f t="shared" ref="K49:R49" si="29">(K47-J47)/J47</f>
        <v>0.12463103301458744</v>
      </c>
      <c r="L49" s="409">
        <f t="shared" si="29"/>
        <v>0.11971088676508986</v>
      </c>
      <c r="M49" s="409">
        <f t="shared" si="29"/>
        <v>0.11246504125810106</v>
      </c>
      <c r="N49" s="409">
        <f t="shared" si="29"/>
        <v>0.10523131003559222</v>
      </c>
      <c r="O49" s="409">
        <f t="shared" si="29"/>
        <v>9.8009564403913382E-2</v>
      </c>
      <c r="P49" s="409">
        <f t="shared" si="29"/>
        <v>9.0799668483525567E-2</v>
      </c>
      <c r="Q49" s="409">
        <f t="shared" si="29"/>
        <v>8.3601478699551035E-2</v>
      </c>
      <c r="R49" s="409">
        <f t="shared" si="29"/>
        <v>7.6414843228344895E-2</v>
      </c>
    </row>
    <row r="51" spans="1:21" ht="18" x14ac:dyDescent="0.35">
      <c r="A51" s="279" t="s">
        <v>120</v>
      </c>
      <c r="B51" s="280" t="s">
        <v>194</v>
      </c>
      <c r="C51" s="281"/>
      <c r="D51" s="281"/>
      <c r="E51" s="281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2"/>
      <c r="S51" s="282"/>
      <c r="T51" s="282"/>
    </row>
    <row r="52" spans="1:21" x14ac:dyDescent="0.3">
      <c r="A52" s="288"/>
      <c r="B52" s="314"/>
      <c r="C52" s="314"/>
      <c r="D52" s="314"/>
      <c r="E52" s="314"/>
      <c r="F52" s="314"/>
    </row>
    <row r="53" spans="1:21" ht="15" thickBot="1" x14ac:dyDescent="0.35">
      <c r="A53" s="288"/>
      <c r="B53" s="283" t="s">
        <v>2</v>
      </c>
      <c r="C53" s="314"/>
      <c r="D53" s="314"/>
      <c r="E53" s="314"/>
      <c r="F53" s="314"/>
      <c r="G53" s="42">
        <v>2021</v>
      </c>
      <c r="H53" s="42">
        <v>2022</v>
      </c>
      <c r="I53" s="42">
        <v>2023</v>
      </c>
      <c r="J53" s="42">
        <v>2024</v>
      </c>
      <c r="K53" s="43">
        <v>2025</v>
      </c>
      <c r="L53" s="43">
        <f t="shared" ref="L53:Q53" si="30">K53+1</f>
        <v>2026</v>
      </c>
      <c r="M53" s="43">
        <f t="shared" si="30"/>
        <v>2027</v>
      </c>
      <c r="N53" s="43">
        <f t="shared" si="30"/>
        <v>2028</v>
      </c>
      <c r="O53" s="43">
        <f t="shared" si="30"/>
        <v>2029</v>
      </c>
      <c r="P53" s="43">
        <f t="shared" si="30"/>
        <v>2030</v>
      </c>
      <c r="Q53" s="43">
        <f t="shared" si="30"/>
        <v>2031</v>
      </c>
      <c r="R53" s="43">
        <f>Q53+1</f>
        <v>2032</v>
      </c>
      <c r="S53" s="43">
        <f>S10</f>
        <v>2026</v>
      </c>
      <c r="T53" s="43">
        <f>T10</f>
        <v>2026</v>
      </c>
    </row>
    <row r="55" spans="1:21" x14ac:dyDescent="0.3">
      <c r="B55" s="291" t="s">
        <v>195</v>
      </c>
      <c r="G55" s="303">
        <f t="shared" ref="G55:R55" si="31">SUM(G56,G59)</f>
        <v>1024.2</v>
      </c>
      <c r="H55" s="303">
        <f t="shared" si="31"/>
        <v>1246.1999999999998</v>
      </c>
      <c r="I55" s="303">
        <f t="shared" si="31"/>
        <v>1513.7</v>
      </c>
      <c r="J55" s="303">
        <f t="shared" si="31"/>
        <v>1760</v>
      </c>
      <c r="K55" s="303">
        <f t="shared" si="31"/>
        <v>1970.5821917882795</v>
      </c>
      <c r="L55" s="303">
        <f t="shared" si="31"/>
        <v>2231.5225279504043</v>
      </c>
      <c r="M55" s="303">
        <f t="shared" si="31"/>
        <v>2511.3004132436945</v>
      </c>
      <c r="N55" s="303">
        <f t="shared" si="31"/>
        <v>2808.6463751855026</v>
      </c>
      <c r="O55" s="303">
        <f t="shared" si="31"/>
        <v>3121.7891593875561</v>
      </c>
      <c r="P55" s="303">
        <f t="shared" si="31"/>
        <v>3448.4426181810036</v>
      </c>
      <c r="Q55" s="303">
        <f t="shared" si="31"/>
        <v>3785.8087055277388</v>
      </c>
      <c r="R55" s="303">
        <f t="shared" si="31"/>
        <v>4130.598438451706</v>
      </c>
      <c r="S55" s="303">
        <f>SUM(S56,S59)</f>
        <v>554.27197837051017</v>
      </c>
      <c r="T55" s="303">
        <f t="shared" ref="T55" si="32">SUM(T56,T59)</f>
        <v>1674.6328385790591</v>
      </c>
    </row>
    <row r="56" spans="1:21" x14ac:dyDescent="0.3">
      <c r="B56" s="300" t="s">
        <v>196</v>
      </c>
      <c r="G56" s="285">
        <v>850.7</v>
      </c>
      <c r="H56" s="285">
        <v>1047.5999999999999</v>
      </c>
      <c r="I56" s="285">
        <v>1297.3</v>
      </c>
      <c r="J56" s="285">
        <v>1517.3</v>
      </c>
      <c r="K56" s="286">
        <f t="shared" ref="K56:T56" si="33">SUM(K57:K58)</f>
        <v>1697.6342400756391</v>
      </c>
      <c r="L56" s="286">
        <f t="shared" si="33"/>
        <v>1925.899734897529</v>
      </c>
      <c r="M56" s="286">
        <f t="shared" si="33"/>
        <v>2171.3057401607111</v>
      </c>
      <c r="N56" s="286">
        <f t="shared" si="33"/>
        <v>2432.8736172488743</v>
      </c>
      <c r="O56" s="286">
        <f t="shared" si="33"/>
        <v>2709.1870771307017</v>
      </c>
      <c r="P56" s="286">
        <f t="shared" si="33"/>
        <v>2998.3764036396142</v>
      </c>
      <c r="Q56" s="286">
        <f t="shared" si="33"/>
        <v>3298.1162899379801</v>
      </c>
      <c r="R56" s="286">
        <f t="shared" si="33"/>
        <v>3605.6390833810033</v>
      </c>
      <c r="S56" s="286">
        <f t="shared" si="33"/>
        <v>477.86628010729129</v>
      </c>
      <c r="T56" s="286">
        <f t="shared" si="33"/>
        <v>1445.4157437894025</v>
      </c>
      <c r="U56" s="226"/>
    </row>
    <row r="57" spans="1:21" x14ac:dyDescent="0.3">
      <c r="B57" s="292" t="s">
        <v>197</v>
      </c>
      <c r="G57" s="286">
        <f>G56-G40</f>
        <v>809.6</v>
      </c>
      <c r="H57" s="286">
        <f>H56-H40</f>
        <v>967.39999999999986</v>
      </c>
      <c r="I57" s="286">
        <f>I56-I40</f>
        <v>1128.5999999999999</v>
      </c>
      <c r="J57" s="286">
        <f>J56-J40</f>
        <v>1317</v>
      </c>
      <c r="K57" s="286">
        <f t="shared" ref="K57:R57" si="34">K23</f>
        <v>1500.7682472618426</v>
      </c>
      <c r="L57" s="286">
        <f t="shared" si="34"/>
        <v>1702.9959369820849</v>
      </c>
      <c r="M57" s="286">
        <f t="shared" si="34"/>
        <v>1920.3147158151464</v>
      </c>
      <c r="N57" s="286">
        <f t="shared" si="34"/>
        <v>2151.6840999664773</v>
      </c>
      <c r="O57" s="286">
        <f t="shared" si="34"/>
        <v>2395.6330033247755</v>
      </c>
      <c r="P57" s="286">
        <f t="shared" si="34"/>
        <v>2650.2448742800416</v>
      </c>
      <c r="Q57" s="286">
        <f t="shared" si="34"/>
        <v>2913.1564407406026</v>
      </c>
      <c r="R57" s="286">
        <f t="shared" si="34"/>
        <v>3181.5718489133515</v>
      </c>
      <c r="S57" s="286">
        <f t="shared" ref="S57:T57" si="35">S23</f>
        <v>425.74898424552123</v>
      </c>
      <c r="T57" s="286">
        <f t="shared" si="35"/>
        <v>1277.2469527365636</v>
      </c>
    </row>
    <row r="58" spans="1:21" x14ac:dyDescent="0.3">
      <c r="B58" s="292" t="s">
        <v>198</v>
      </c>
      <c r="G58" s="286">
        <f t="shared" ref="G58:R58" si="36">G40</f>
        <v>41.099999999999994</v>
      </c>
      <c r="H58" s="286">
        <f t="shared" si="36"/>
        <v>80.2</v>
      </c>
      <c r="I58" s="286">
        <f t="shared" si="36"/>
        <v>168.7</v>
      </c>
      <c r="J58" s="286">
        <f t="shared" si="36"/>
        <v>200.3</v>
      </c>
      <c r="K58" s="286">
        <f t="shared" si="36"/>
        <v>196.86599281379659</v>
      </c>
      <c r="L58" s="286">
        <f t="shared" si="36"/>
        <v>222.9037979154441</v>
      </c>
      <c r="M58" s="286">
        <f t="shared" si="36"/>
        <v>250.9910243455646</v>
      </c>
      <c r="N58" s="286">
        <f t="shared" si="36"/>
        <v>281.18951728239688</v>
      </c>
      <c r="O58" s="286">
        <f t="shared" si="36"/>
        <v>313.55407380592624</v>
      </c>
      <c r="P58" s="286">
        <f t="shared" si="36"/>
        <v>348.13152935957254</v>
      </c>
      <c r="Q58" s="286">
        <f t="shared" si="36"/>
        <v>384.95984919737759</v>
      </c>
      <c r="R58" s="286">
        <f t="shared" si="36"/>
        <v>424.06723446765176</v>
      </c>
      <c r="S58" s="286">
        <f t="shared" ref="S58:T58" si="37">S40</f>
        <v>52.117295861770067</v>
      </c>
      <c r="T58" s="286">
        <f t="shared" si="37"/>
        <v>168.168791052839</v>
      </c>
    </row>
    <row r="59" spans="1:21" x14ac:dyDescent="0.3">
      <c r="B59" s="300" t="s">
        <v>199</v>
      </c>
      <c r="G59" s="286">
        <f t="shared" ref="G59:R59" si="38">G47</f>
        <v>173.5</v>
      </c>
      <c r="H59" s="286">
        <f t="shared" si="38"/>
        <v>198.6</v>
      </c>
      <c r="I59" s="286">
        <f t="shared" si="38"/>
        <v>216.4</v>
      </c>
      <c r="J59" s="286">
        <f t="shared" si="38"/>
        <v>242.7</v>
      </c>
      <c r="K59" s="286">
        <f t="shared" si="38"/>
        <v>272.94795171264036</v>
      </c>
      <c r="L59" s="286">
        <f t="shared" si="38"/>
        <v>305.62279305287547</v>
      </c>
      <c r="M59" s="286">
        <f t="shared" si="38"/>
        <v>339.99467308298318</v>
      </c>
      <c r="N59" s="286">
        <f t="shared" si="38"/>
        <v>375.77275793662841</v>
      </c>
      <c r="O59" s="286">
        <f t="shared" si="38"/>
        <v>412.60208225685454</v>
      </c>
      <c r="P59" s="286">
        <f t="shared" si="38"/>
        <v>450.06621454138929</v>
      </c>
      <c r="Q59" s="286">
        <f t="shared" si="38"/>
        <v>487.69241558975881</v>
      </c>
      <c r="R59" s="286">
        <f t="shared" si="38"/>
        <v>524.95935507070305</v>
      </c>
      <c r="S59" s="286">
        <f t="shared" ref="S59:T59" si="39">S47</f>
        <v>76.405698263218866</v>
      </c>
      <c r="T59" s="286">
        <f t="shared" si="39"/>
        <v>229.21709478965658</v>
      </c>
    </row>
    <row r="60" spans="1:21" x14ac:dyDescent="0.3"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</row>
    <row r="61" spans="1:21" x14ac:dyDescent="0.3">
      <c r="B61" s="287" t="s">
        <v>200</v>
      </c>
      <c r="G61" s="286">
        <f>SUM(G62:G65)</f>
        <v>-641.9</v>
      </c>
      <c r="H61" s="286">
        <f t="shared" ref="H61:J61" si="40">SUM(H62:H65)</f>
        <v>-772.99999999999989</v>
      </c>
      <c r="I61" s="286">
        <f t="shared" si="40"/>
        <v>-867.19999999999993</v>
      </c>
      <c r="J61" s="286">
        <f t="shared" si="40"/>
        <v>-947.9</v>
      </c>
      <c r="K61" s="226">
        <f>SUM(K62:K65)</f>
        <v>-987.12566777425718</v>
      </c>
      <c r="L61" s="226">
        <f t="shared" ref="L61:R61" si="41">SUM(L62:L65)</f>
        <v>-1119.8217292705099</v>
      </c>
      <c r="M61" s="226">
        <f t="shared" si="41"/>
        <v>-1262.5072237844613</v>
      </c>
      <c r="N61" s="226">
        <f t="shared" si="41"/>
        <v>-1414.5490359451835</v>
      </c>
      <c r="O61" s="226">
        <f t="shared" si="41"/>
        <v>-1533.7033764406888</v>
      </c>
      <c r="P61" s="226">
        <f t="shared" si="41"/>
        <v>-1651.5089526371744</v>
      </c>
      <c r="Q61" s="226">
        <f t="shared" si="41"/>
        <v>-1766.1045686333398</v>
      </c>
      <c r="R61" s="226">
        <f t="shared" si="41"/>
        <v>-1875.5414762920202</v>
      </c>
      <c r="S61" s="226">
        <f>SUM(S62:S65)</f>
        <v>-279.95543231762747</v>
      </c>
      <c r="T61" s="226">
        <f t="shared" ref="T61" si="42">SUM(T62:T65)</f>
        <v>-839.86629695288252</v>
      </c>
    </row>
    <row r="62" spans="1:21" x14ac:dyDescent="0.3">
      <c r="B62" s="300" t="s">
        <v>201</v>
      </c>
      <c r="G62" s="285">
        <v>-262.39999999999998</v>
      </c>
      <c r="H62" s="285">
        <v>-309.39999999999998</v>
      </c>
      <c r="I62" s="285">
        <v>-324.89999999999998</v>
      </c>
      <c r="J62" s="285">
        <v>-352.7</v>
      </c>
      <c r="K62" s="227">
        <f>-'Inputs and Drivers'!K53*Model!K57</f>
        <v>-348.85715468875759</v>
      </c>
      <c r="L62" s="227">
        <f>-'Inputs and Drivers'!L53*Model!L57</f>
        <v>-391.63500392436549</v>
      </c>
      <c r="M62" s="227">
        <f>-'Inputs and Drivers'!M53*Model!M57</f>
        <v>-436.84111766643537</v>
      </c>
      <c r="N62" s="227">
        <f>-'Inputs and Drivers'!N53*Model!N57</f>
        <v>-484.12892249245743</v>
      </c>
      <c r="O62" s="227">
        <f>-'Inputs and Drivers'!O53*Model!O57</f>
        <v>-536.02288449391847</v>
      </c>
      <c r="P62" s="227">
        <f>-'Inputs and Drivers'!P53*Model!P57</f>
        <v>-589.67948452730923</v>
      </c>
      <c r="Q62" s="227">
        <f>-'Inputs and Drivers'!Q53*Model!Q57</f>
        <v>-644.53586251385832</v>
      </c>
      <c r="R62" s="227">
        <f>-'Inputs and Drivers'!R53*Model!R57</f>
        <v>-699.94580676093733</v>
      </c>
      <c r="S62" s="226">
        <f t="shared" ref="S62:S64" si="43">$L62*S$6</f>
        <v>-97.908750981091373</v>
      </c>
      <c r="T62" s="226">
        <f>$L62*T$6</f>
        <v>-293.72625294327412</v>
      </c>
    </row>
    <row r="63" spans="1:21" x14ac:dyDescent="0.3">
      <c r="B63" s="300" t="s">
        <v>202</v>
      </c>
      <c r="G63" s="285">
        <v>-194.6</v>
      </c>
      <c r="H63" s="285">
        <v>-238.7</v>
      </c>
      <c r="I63" s="285">
        <v>-265.60000000000002</v>
      </c>
      <c r="J63" s="285">
        <v>-291</v>
      </c>
      <c r="K63" s="227">
        <f>-'Inputs and Drivers'!K58*Model!K59</f>
        <v>-327.26763060724494</v>
      </c>
      <c r="L63" s="227">
        <f>-'Inputs and Drivers'!L58*Model!L59</f>
        <v>-359.93924370942966</v>
      </c>
      <c r="M63" s="227">
        <f>-'Inputs and Drivers'!M58*Model!M59</f>
        <v>-393.18225579253902</v>
      </c>
      <c r="N63" s="227">
        <f>-'Inputs and Drivers'!N58*Model!N59</f>
        <v>-426.55815088856173</v>
      </c>
      <c r="O63" s="227">
        <f>-'Inputs and Drivers'!O58*Model!O59</f>
        <v>-459.58174367999061</v>
      </c>
      <c r="P63" s="227">
        <f>-'Inputs and Drivers'!P58*Model!P59</f>
        <v>-491.73091752096246</v>
      </c>
      <c r="Q63" s="227">
        <f>-'Inputs and Drivers'!Q58*Model!Q59</f>
        <v>-522.45869285862432</v>
      </c>
      <c r="R63" s="227">
        <f>-'Inputs and Drivers'!R58*Model!R59</f>
        <v>-551.20732282423819</v>
      </c>
      <c r="S63" s="226">
        <f t="shared" si="43"/>
        <v>-89.984810927357415</v>
      </c>
      <c r="T63" s="226">
        <f>$L63*T$6</f>
        <v>-269.95443278207222</v>
      </c>
    </row>
    <row r="64" spans="1:21" x14ac:dyDescent="0.3">
      <c r="B64" s="300" t="s">
        <v>203</v>
      </c>
      <c r="G64" s="285">
        <v>-134</v>
      </c>
      <c r="H64" s="285">
        <v>-169.9</v>
      </c>
      <c r="I64" s="285">
        <v>-209.9</v>
      </c>
      <c r="J64" s="285">
        <v>-223.8</v>
      </c>
      <c r="K64" s="227">
        <f>-'Inputs and Drivers'!K63*Model!K57</f>
        <v>-235.85906072241099</v>
      </c>
      <c r="L64" s="227">
        <f>-'Inputs and Drivers'!L63*Model!L57</f>
        <v>-280.60704852672359</v>
      </c>
      <c r="M64" s="227">
        <f>-'Inputs and Drivers'!M63*Model!M57</f>
        <v>-331.03593753201113</v>
      </c>
      <c r="N64" s="227">
        <f>-'Inputs and Drivers'!N63*Model!N57</f>
        <v>-387.30313799396589</v>
      </c>
      <c r="O64" s="227">
        <f>-'Inputs and Drivers'!O63*Model!O57</f>
        <v>-413.24669307352372</v>
      </c>
      <c r="P64" s="227">
        <f>-'Inputs and Drivers'!P63*Model!P57</f>
        <v>-437.29040425620678</v>
      </c>
      <c r="Q64" s="227">
        <f>-'Inputs and Drivers'!Q63*Model!Q57</f>
        <v>-458.82213941664486</v>
      </c>
      <c r="R64" s="227">
        <f>-'Inputs and Drivers'!R63*Model!R57</f>
        <v>-477.23577733700267</v>
      </c>
      <c r="S64" s="226">
        <f t="shared" si="43"/>
        <v>-70.151762131680897</v>
      </c>
      <c r="T64" s="226">
        <f>$L64*T$6</f>
        <v>-210.45528639504269</v>
      </c>
    </row>
    <row r="65" spans="2:22" x14ac:dyDescent="0.3">
      <c r="B65" s="300" t="s">
        <v>204</v>
      </c>
      <c r="G65" s="285">
        <v>-50.9</v>
      </c>
      <c r="H65" s="285">
        <v>-55</v>
      </c>
      <c r="I65" s="285">
        <v>-66.8</v>
      </c>
      <c r="J65" s="285">
        <v>-80.400000000000006</v>
      </c>
      <c r="K65" s="227">
        <f>(K73*'Inputs and Drivers'!K96)</f>
        <v>-75.14182175584375</v>
      </c>
      <c r="L65" s="227">
        <f>(L73*'Inputs and Drivers'!L96)</f>
        <v>-87.640433109991221</v>
      </c>
      <c r="M65" s="227">
        <f>(M73*'Inputs and Drivers'!M96)</f>
        <v>-101.44791279347568</v>
      </c>
      <c r="N65" s="227">
        <f>(N73*'Inputs and Drivers'!N96)</f>
        <v>-116.55882457019837</v>
      </c>
      <c r="O65" s="227">
        <f>(O73*'Inputs and Drivers'!O96)</f>
        <v>-124.85205519325608</v>
      </c>
      <c r="P65" s="227">
        <f>(P73*'Inputs and Drivers'!P96)</f>
        <v>-132.80814633269591</v>
      </c>
      <c r="Q65" s="227">
        <f>(Q73*'Inputs and Drivers'!Q96)</f>
        <v>-140.28787384421227</v>
      </c>
      <c r="R65" s="227">
        <f>(R73*'Inputs and Drivers'!R96)</f>
        <v>-147.15256936984201</v>
      </c>
      <c r="S65" s="227">
        <f>'Inputs and Drivers'!$L96*S73</f>
        <v>-21.910108277497805</v>
      </c>
      <c r="T65" s="227">
        <f>'Inputs and Drivers'!$L96*T73</f>
        <v>-65.730324832493409</v>
      </c>
      <c r="U65" s="226"/>
    </row>
    <row r="66" spans="2:22" x14ac:dyDescent="0.3"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</row>
    <row r="67" spans="2:22" x14ac:dyDescent="0.3">
      <c r="B67" s="287" t="s">
        <v>205</v>
      </c>
      <c r="G67" s="286">
        <f>SUM(G55,G61)</f>
        <v>382.30000000000007</v>
      </c>
      <c r="H67" s="286">
        <f t="shared" ref="H67:T67" si="44">SUM(H55,H61)</f>
        <v>473.19999999999993</v>
      </c>
      <c r="I67" s="286">
        <f t="shared" si="44"/>
        <v>646.50000000000011</v>
      </c>
      <c r="J67" s="286">
        <f t="shared" si="44"/>
        <v>812.1</v>
      </c>
      <c r="K67" s="286">
        <f t="shared" si="44"/>
        <v>983.45652401402231</v>
      </c>
      <c r="L67" s="286">
        <f t="shared" si="44"/>
        <v>1111.7007986798944</v>
      </c>
      <c r="M67" s="286">
        <f t="shared" si="44"/>
        <v>1248.7931894592332</v>
      </c>
      <c r="N67" s="286">
        <f t="shared" si="44"/>
        <v>1394.0973392403191</v>
      </c>
      <c r="O67" s="286">
        <f t="shared" si="44"/>
        <v>1588.0857829468673</v>
      </c>
      <c r="P67" s="286">
        <f t="shared" si="44"/>
        <v>1796.9336655438292</v>
      </c>
      <c r="Q67" s="286">
        <f t="shared" si="44"/>
        <v>2019.704136894399</v>
      </c>
      <c r="R67" s="286">
        <f t="shared" si="44"/>
        <v>2255.056962159686</v>
      </c>
      <c r="S67" s="286">
        <f t="shared" si="44"/>
        <v>274.3165460528827</v>
      </c>
      <c r="T67" s="286">
        <f t="shared" si="44"/>
        <v>834.7665416261766</v>
      </c>
    </row>
    <row r="68" spans="2:22" x14ac:dyDescent="0.3">
      <c r="B68" s="300" t="s">
        <v>206</v>
      </c>
      <c r="G68" s="313">
        <f>G67/G55</f>
        <v>0.37326694005077138</v>
      </c>
      <c r="H68" s="313">
        <f>H67/H55</f>
        <v>0.37971433156796663</v>
      </c>
      <c r="I68" s="313">
        <f>I67/I55</f>
        <v>0.42709916099623446</v>
      </c>
      <c r="J68" s="313">
        <f>J67/J55</f>
        <v>0.46142045454545455</v>
      </c>
      <c r="K68" s="313">
        <f t="shared" ref="K68:T68" si="45">K67/K55</f>
        <v>0.49906902036983669</v>
      </c>
      <c r="L68" s="313">
        <f t="shared" si="45"/>
        <v>0.49818040586888579</v>
      </c>
      <c r="M68" s="313">
        <f t="shared" si="45"/>
        <v>0.49726953528679696</v>
      </c>
      <c r="N68" s="313">
        <f t="shared" si="45"/>
        <v>0.49635915420225984</v>
      </c>
      <c r="O68" s="313">
        <f t="shared" si="45"/>
        <v>0.50871013443407043</v>
      </c>
      <c r="P68" s="313">
        <f t="shared" si="45"/>
        <v>0.52108556368894487</v>
      </c>
      <c r="Q68" s="313">
        <f t="shared" si="45"/>
        <v>0.53349344723767644</v>
      </c>
      <c r="R68" s="313">
        <f t="shared" si="45"/>
        <v>0.54593952807597557</v>
      </c>
      <c r="S68" s="313">
        <f t="shared" si="45"/>
        <v>0.49491324973587664</v>
      </c>
      <c r="T68" s="313">
        <f t="shared" si="45"/>
        <v>0.49847735121119652</v>
      </c>
    </row>
    <row r="70" spans="2:22" x14ac:dyDescent="0.3">
      <c r="B70" s="258" t="s">
        <v>207</v>
      </c>
      <c r="G70" s="226"/>
      <c r="H70" s="285">
        <v>-251.5</v>
      </c>
      <c r="I70" s="285">
        <v>-250.2</v>
      </c>
      <c r="J70" s="285">
        <v>-342</v>
      </c>
      <c r="K70" s="227">
        <f>-'Inputs and Drivers'!K68*Model!K57</f>
        <v>-329.33610164509855</v>
      </c>
      <c r="L70" s="227">
        <f>-'Inputs and Drivers'!L68*Model!L57</f>
        <v>-370.19970288448769</v>
      </c>
      <c r="M70" s="227">
        <f>-'Inputs and Drivers'!M68*Model!M57</f>
        <v>-413.47806210176623</v>
      </c>
      <c r="N70" s="227">
        <f>-'Inputs and Drivers'!N68*Model!N57</f>
        <v>-458.85586698345838</v>
      </c>
      <c r="O70" s="227">
        <f>-'Inputs and Drivers'!O68*Model!O57</f>
        <v>-505.93545445948428</v>
      </c>
      <c r="P70" s="227">
        <f>-'Inputs and Drivers'!P68*Model!P57</f>
        <v>-554.23814530432901</v>
      </c>
      <c r="Q70" s="227">
        <f>-'Inputs and Drivers'!Q68*Model!Q57</f>
        <v>-603.20858052805033</v>
      </c>
      <c r="R70" s="227">
        <f>-'Inputs and Drivers'!R68*Model!R57</f>
        <v>-652.22222902723706</v>
      </c>
      <c r="S70" s="286">
        <f>$L70*S$6</f>
        <v>-92.549925721121923</v>
      </c>
      <c r="T70" s="286">
        <f t="shared" ref="T70:T71" si="46">$L70*T$6</f>
        <v>-277.6497771633658</v>
      </c>
    </row>
    <row r="71" spans="2:22" x14ac:dyDescent="0.3">
      <c r="B71" s="258" t="s">
        <v>208</v>
      </c>
      <c r="G71" s="226"/>
      <c r="H71" s="285">
        <v>-247.5</v>
      </c>
      <c r="I71" s="285">
        <v>-263.2</v>
      </c>
      <c r="J71" s="285">
        <v>-366</v>
      </c>
      <c r="K71" s="227">
        <f>-'Inputs and Drivers'!K73*Model!K57</f>
        <v>-340.35180656401695</v>
      </c>
      <c r="L71" s="227">
        <f>-'Inputs and Drivers'!L73*Model!L57</f>
        <v>-376.68573152504973</v>
      </c>
      <c r="M71" s="227">
        <f>-'Inputs and Drivers'!M73*Model!M57</f>
        <v>-414.01028511073952</v>
      </c>
      <c r="N71" s="227">
        <f>-'Inputs and Drivers'!N73*Model!N57</f>
        <v>-451.85366099296022</v>
      </c>
      <c r="O71" s="227">
        <f>-'Inputs and Drivers'!O73*Model!O57</f>
        <v>-497.09384818989088</v>
      </c>
      <c r="P71" s="227">
        <f>-'Inputs and Drivers'!P73*Model!P57</f>
        <v>-543.30019922740848</v>
      </c>
      <c r="Q71" s="227">
        <f>-'Inputs and Drivers'!Q73*Model!Q57</f>
        <v>-589.91417924997199</v>
      </c>
      <c r="R71" s="227">
        <f>-'Inputs and Drivers'!R73*Model!R57</f>
        <v>-636.31436978267038</v>
      </c>
      <c r="S71" s="286">
        <f t="shared" ref="S71" si="47">$L71*S$6</f>
        <v>-94.171432881262433</v>
      </c>
      <c r="T71" s="286">
        <f t="shared" si="46"/>
        <v>-282.5142986437873</v>
      </c>
    </row>
    <row r="72" spans="2:22" x14ac:dyDescent="0.3">
      <c r="G72" s="226"/>
      <c r="H72" s="285"/>
      <c r="I72" s="285"/>
      <c r="J72" s="285"/>
      <c r="K72" s="226"/>
      <c r="L72" s="226"/>
      <c r="M72" s="226"/>
      <c r="N72" s="226"/>
      <c r="O72" s="226"/>
      <c r="P72" s="226"/>
      <c r="Q72" s="226"/>
      <c r="R72" s="226"/>
    </row>
    <row r="73" spans="2:22" x14ac:dyDescent="0.3">
      <c r="B73" s="258" t="s">
        <v>209</v>
      </c>
      <c r="G73" s="285">
        <v>-77.5</v>
      </c>
      <c r="H73" s="285">
        <v>-89</v>
      </c>
      <c r="I73" s="285">
        <v>-132.5</v>
      </c>
      <c r="J73" s="285">
        <v>-209.8</v>
      </c>
      <c r="K73" s="227">
        <f>-'Inputs and Drivers'!K91*Model!K55</f>
        <v>-177.35239726094514</v>
      </c>
      <c r="L73" s="227">
        <f>-'Inputs and Drivers'!L91*Model!L55</f>
        <v>-208.27543594203775</v>
      </c>
      <c r="M73" s="227">
        <f>-'Inputs and Drivers'!M91*Model!M55</f>
        <v>-242.75903994689051</v>
      </c>
      <c r="N73" s="227">
        <f>-'Inputs and Drivers'!N91*Model!N55</f>
        <v>-280.8646375185503</v>
      </c>
      <c r="O73" s="227">
        <f>-'Inputs and Drivers'!O91*Model!O55</f>
        <v>-308.2766794895212</v>
      </c>
      <c r="P73" s="227">
        <f>-'Inputs and Drivers'!P91*Model!P55</f>
        <v>-336.22315527264789</v>
      </c>
      <c r="Q73" s="227">
        <f>-'Inputs and Drivers'!Q91*Model!Q55</f>
        <v>-364.38408790704489</v>
      </c>
      <c r="R73" s="227">
        <f>-'Inputs and Drivers'!R91*Model!R55</f>
        <v>-392.40685165291205</v>
      </c>
      <c r="S73" s="226">
        <f>$L73*S$6</f>
        <v>-52.068858985509436</v>
      </c>
      <c r="T73" s="226">
        <f t="shared" ref="T73" si="48">$L73*T$6</f>
        <v>-156.20657695652829</v>
      </c>
    </row>
    <row r="74" spans="2:22" x14ac:dyDescent="0.3"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</row>
    <row r="75" spans="2:22" x14ac:dyDescent="0.3">
      <c r="B75" s="258" t="s">
        <v>210</v>
      </c>
      <c r="G75" s="226"/>
      <c r="H75" s="286">
        <f>H67+SUM(H70:H71)</f>
        <v>-25.800000000000068</v>
      </c>
      <c r="I75" s="226">
        <f t="shared" ref="I75:T75" si="49">I67+SUM(I70:I71)</f>
        <v>133.10000000000014</v>
      </c>
      <c r="J75" s="226">
        <f t="shared" si="49"/>
        <v>104.10000000000002</v>
      </c>
      <c r="K75" s="226">
        <f t="shared" si="49"/>
        <v>313.76861580490686</v>
      </c>
      <c r="L75" s="226">
        <f t="shared" si="49"/>
        <v>364.81536427035701</v>
      </c>
      <c r="M75" s="226">
        <f t="shared" si="49"/>
        <v>421.3048422467275</v>
      </c>
      <c r="N75" s="226">
        <f t="shared" si="49"/>
        <v>483.38781126390052</v>
      </c>
      <c r="O75" s="226">
        <f t="shared" si="49"/>
        <v>585.05648029749216</v>
      </c>
      <c r="P75" s="226">
        <f t="shared" si="49"/>
        <v>699.3953210120917</v>
      </c>
      <c r="Q75" s="226">
        <f t="shared" si="49"/>
        <v>826.58137711637664</v>
      </c>
      <c r="R75" s="226">
        <f t="shared" si="49"/>
        <v>966.52036334977856</v>
      </c>
      <c r="S75" s="226">
        <f t="shared" si="49"/>
        <v>87.595187450498344</v>
      </c>
      <c r="T75" s="226">
        <f t="shared" si="49"/>
        <v>274.60246581902356</v>
      </c>
    </row>
    <row r="76" spans="2:22" x14ac:dyDescent="0.3">
      <c r="B76" s="258" t="s">
        <v>211</v>
      </c>
      <c r="H76" s="313">
        <f>H75/H55</f>
        <v>-2.0702936928261972E-2</v>
      </c>
      <c r="I76" s="313">
        <f>I75/I55</f>
        <v>8.7930237167206271E-2</v>
      </c>
      <c r="J76" s="313">
        <f>J75/J55</f>
        <v>5.9147727272727282E-2</v>
      </c>
      <c r="K76" s="313">
        <f t="shared" ref="K76:T76" si="50">K75/K55</f>
        <v>0.15922635306074984</v>
      </c>
      <c r="L76" s="313">
        <f t="shared" si="50"/>
        <v>0.16348271626252883</v>
      </c>
      <c r="M76" s="313">
        <f t="shared" si="50"/>
        <v>0.1677636176161631</v>
      </c>
      <c r="N76" s="313">
        <f t="shared" si="50"/>
        <v>0.17210703901162147</v>
      </c>
      <c r="O76" s="313">
        <f t="shared" si="50"/>
        <v>0.18741063230941279</v>
      </c>
      <c r="P76" s="313">
        <f t="shared" si="50"/>
        <v>0.20281483511563</v>
      </c>
      <c r="Q76" s="313">
        <f t="shared" si="50"/>
        <v>0.21833680500271127</v>
      </c>
      <c r="R76" s="313">
        <f t="shared" si="50"/>
        <v>0.2339903957626209</v>
      </c>
      <c r="S76" s="313">
        <f t="shared" si="50"/>
        <v>0.15803647102640325</v>
      </c>
      <c r="T76" s="313">
        <f t="shared" si="50"/>
        <v>0.16397771469238964</v>
      </c>
    </row>
    <row r="77" spans="2:22" x14ac:dyDescent="0.3">
      <c r="R77" s="315"/>
      <c r="V77" s="258" t="s">
        <v>212</v>
      </c>
    </row>
    <row r="78" spans="2:22" x14ac:dyDescent="0.3">
      <c r="B78" s="316" t="s">
        <v>213</v>
      </c>
      <c r="G78" s="226"/>
      <c r="H78" s="285">
        <f>'Income Statement'!D31+'Income Statement'!D32</f>
        <v>-30.6</v>
      </c>
      <c r="I78" s="285">
        <f>'Income Statement'!E31+'Income Statement'!E32</f>
        <v>-34.1</v>
      </c>
      <c r="J78" s="285">
        <f>'Income Statement'!F31+'Income Statement'!F32</f>
        <v>-54.6</v>
      </c>
      <c r="K78" s="415">
        <f ca="1">-K265</f>
        <v>-18.416241982822946</v>
      </c>
      <c r="L78" s="415">
        <f t="shared" ref="L78:T78" ca="1" si="51">-L265</f>
        <v>-237.93971104380626</v>
      </c>
      <c r="M78" s="415">
        <f t="shared" ca="1" si="51"/>
        <v>-184.44121910445074</v>
      </c>
      <c r="N78" s="415">
        <f t="shared" ca="1" si="51"/>
        <v>-157.62391330426053</v>
      </c>
      <c r="O78" s="415">
        <f t="shared" ca="1" si="51"/>
        <v>-129.67955430962968</v>
      </c>
      <c r="P78" s="415">
        <f t="shared" ca="1" si="51"/>
        <v>-100.34251800406034</v>
      </c>
      <c r="Q78" s="415">
        <f t="shared" ca="1" si="51"/>
        <v>-70.170194351390165</v>
      </c>
      <c r="R78" s="415">
        <f t="shared" ca="1" si="51"/>
        <v>-43.297832021049629</v>
      </c>
      <c r="S78" s="226">
        <f t="shared" ca="1" si="51"/>
        <v>-1.8901559552935137</v>
      </c>
      <c r="T78" s="226">
        <f t="shared" ca="1" si="51"/>
        <v>-229.72715989357965</v>
      </c>
    </row>
    <row r="79" spans="2:22" x14ac:dyDescent="0.3">
      <c r="B79" s="316" t="s">
        <v>214</v>
      </c>
      <c r="G79" s="226"/>
      <c r="H79" s="286">
        <f>H75+H78</f>
        <v>-56.40000000000007</v>
      </c>
      <c r="I79" s="286">
        <f t="shared" ref="I79:J79" si="52">I75+I78</f>
        <v>99.000000000000142</v>
      </c>
      <c r="J79" s="286">
        <f t="shared" si="52"/>
        <v>49.500000000000021</v>
      </c>
      <c r="K79" s="415">
        <f t="shared" ref="K79" ca="1" si="53">K75+K78</f>
        <v>295.3523738220839</v>
      </c>
      <c r="L79" s="415">
        <f t="shared" ref="L79" ca="1" si="54">L75+L78</f>
        <v>126.87565322655075</v>
      </c>
      <c r="M79" s="415">
        <f t="shared" ref="M79" ca="1" si="55">M75+M78</f>
        <v>236.86362314227677</v>
      </c>
      <c r="N79" s="415">
        <f t="shared" ref="N79" ca="1" si="56">N75+N78</f>
        <v>325.76389795963996</v>
      </c>
      <c r="O79" s="415">
        <f t="shared" ref="O79" ca="1" si="57">O75+O78</f>
        <v>455.37692598786248</v>
      </c>
      <c r="P79" s="415">
        <f t="shared" ref="P79" ca="1" si="58">P75+P78</f>
        <v>599.05280300803133</v>
      </c>
      <c r="Q79" s="415">
        <f t="shared" ref="Q79" ca="1" si="59">Q75+Q78</f>
        <v>756.41118276498651</v>
      </c>
      <c r="R79" s="415">
        <f t="shared" ref="R79" ca="1" si="60">R75+R78</f>
        <v>923.22253132872891</v>
      </c>
      <c r="S79" s="226">
        <f ca="1">S75+S78</f>
        <v>85.705031495204835</v>
      </c>
      <c r="T79" s="226">
        <f t="shared" ref="T79" ca="1" si="61">T75+T78</f>
        <v>44.875305925443911</v>
      </c>
    </row>
    <row r="80" spans="2:22" x14ac:dyDescent="0.3">
      <c r="C80" s="317" t="s">
        <v>105</v>
      </c>
      <c r="D80" s="318"/>
      <c r="E80" s="318"/>
      <c r="G80" s="226"/>
      <c r="H80" s="226"/>
      <c r="I80" s="226"/>
      <c r="J80" s="226"/>
      <c r="K80" s="415"/>
      <c r="L80" s="415"/>
      <c r="M80" s="415"/>
      <c r="N80" s="415"/>
      <c r="O80" s="415"/>
      <c r="P80" s="415"/>
      <c r="Q80" s="415"/>
      <c r="R80" s="415"/>
    </row>
    <row r="81" spans="1:20" x14ac:dyDescent="0.3">
      <c r="B81" s="258" t="s">
        <v>215</v>
      </c>
      <c r="C81" s="319">
        <f>'Transaction Details'!H29</f>
        <v>0.25</v>
      </c>
      <c r="D81" s="320"/>
      <c r="E81" s="320"/>
      <c r="G81" s="226"/>
      <c r="H81" s="285">
        <v>-10.5</v>
      </c>
      <c r="I81" s="285">
        <v>-41.2</v>
      </c>
      <c r="J81" s="285">
        <v>-19.5</v>
      </c>
      <c r="K81" s="415">
        <f ca="1">-K79*$C$81</f>
        <v>-73.838093455520976</v>
      </c>
      <c r="L81" s="415">
        <f t="shared" ref="L81:R81" ca="1" si="62">-L79*$C$81</f>
        <v>-31.718913306637688</v>
      </c>
      <c r="M81" s="415">
        <f t="shared" ca="1" si="62"/>
        <v>-59.215905785569191</v>
      </c>
      <c r="N81" s="415">
        <f t="shared" ca="1" si="62"/>
        <v>-81.440974489909991</v>
      </c>
      <c r="O81" s="415">
        <f t="shared" ca="1" si="62"/>
        <v>-113.84423149696562</v>
      </c>
      <c r="P81" s="415">
        <f t="shared" ca="1" si="62"/>
        <v>-149.76320075200783</v>
      </c>
      <c r="Q81" s="415">
        <f t="shared" ca="1" si="62"/>
        <v>-189.10279569124663</v>
      </c>
      <c r="R81" s="415">
        <f t="shared" ca="1" si="62"/>
        <v>-230.80563283218223</v>
      </c>
      <c r="S81" s="286">
        <f t="shared" ref="S81:T81" ca="1" si="63">$L81*S$6</f>
        <v>-7.9297283266594221</v>
      </c>
      <c r="T81" s="286">
        <f t="shared" ca="1" si="63"/>
        <v>-23.789184979978266</v>
      </c>
    </row>
    <row r="82" spans="1:20" x14ac:dyDescent="0.3">
      <c r="B82" s="258" t="s">
        <v>216</v>
      </c>
      <c r="C82" s="320"/>
      <c r="D82" s="320"/>
      <c r="E82" s="320"/>
      <c r="G82" s="226"/>
      <c r="H82" s="285">
        <f>SUM('Income Statement'!D34:D35)</f>
        <v>0</v>
      </c>
      <c r="I82" s="285">
        <f>SUM('Income Statement'!E34:E35)</f>
        <v>-4.3</v>
      </c>
      <c r="J82" s="285">
        <f>SUM('Income Statement'!F34:F35)</f>
        <v>-9</v>
      </c>
      <c r="K82" s="416">
        <v>0</v>
      </c>
      <c r="L82" s="416">
        <v>0</v>
      </c>
      <c r="M82" s="416">
        <v>0</v>
      </c>
      <c r="N82" s="416">
        <v>0</v>
      </c>
      <c r="O82" s="416">
        <v>0</v>
      </c>
      <c r="P82" s="416">
        <v>0</v>
      </c>
      <c r="Q82" s="416">
        <v>0</v>
      </c>
      <c r="R82" s="416">
        <v>0</v>
      </c>
      <c r="S82" s="286">
        <f t="shared" ref="S82:T82" si="64">$L82*S$6</f>
        <v>0</v>
      </c>
      <c r="T82" s="286">
        <f t="shared" si="64"/>
        <v>0</v>
      </c>
    </row>
    <row r="83" spans="1:20" x14ac:dyDescent="0.3">
      <c r="B83" s="291" t="s">
        <v>217</v>
      </c>
      <c r="G83" s="226"/>
      <c r="H83" s="303">
        <f>H79+SUM(H81:H82)</f>
        <v>-66.900000000000063</v>
      </c>
      <c r="I83" s="224">
        <f t="shared" ref="I83:J83" si="65">I79+SUM(I81:I82)</f>
        <v>53.500000000000142</v>
      </c>
      <c r="J83" s="224">
        <f t="shared" si="65"/>
        <v>21.000000000000021</v>
      </c>
      <c r="K83" s="417">
        <f ca="1">K79+K81</f>
        <v>221.51428036656293</v>
      </c>
      <c r="L83" s="417">
        <f t="shared" ref="L83:T83" ca="1" si="66">L79+L81</f>
        <v>95.156739919913065</v>
      </c>
      <c r="M83" s="417">
        <f t="shared" ca="1" si="66"/>
        <v>177.64771735670757</v>
      </c>
      <c r="N83" s="417">
        <f t="shared" ca="1" si="66"/>
        <v>244.32292346972997</v>
      </c>
      <c r="O83" s="417">
        <f t="shared" ca="1" si="66"/>
        <v>341.53269449089686</v>
      </c>
      <c r="P83" s="417">
        <f t="shared" ca="1" si="66"/>
        <v>449.2896022560235</v>
      </c>
      <c r="Q83" s="417">
        <f t="shared" ca="1" si="66"/>
        <v>567.30838707373982</v>
      </c>
      <c r="R83" s="417">
        <f t="shared" ca="1" si="66"/>
        <v>692.41689849654665</v>
      </c>
      <c r="S83" s="303">
        <f t="shared" ca="1" si="66"/>
        <v>77.775303168545406</v>
      </c>
      <c r="T83" s="303">
        <f t="shared" ca="1" si="66"/>
        <v>21.086120945465645</v>
      </c>
    </row>
    <row r="84" spans="1:20" x14ac:dyDescent="0.3">
      <c r="B84" s="291"/>
      <c r="G84" s="226"/>
      <c r="H84" s="286"/>
      <c r="I84" s="226"/>
      <c r="J84" s="226"/>
      <c r="K84" s="226"/>
      <c r="L84" s="226"/>
      <c r="M84" s="226"/>
      <c r="N84" s="226"/>
      <c r="O84" s="226"/>
      <c r="P84" s="226"/>
      <c r="Q84" s="226"/>
      <c r="R84" s="226"/>
    </row>
    <row r="85" spans="1:20" x14ac:dyDescent="0.3">
      <c r="B85" s="258" t="s">
        <v>218</v>
      </c>
      <c r="G85" s="226"/>
      <c r="H85" s="285">
        <v>-144.80000000000001</v>
      </c>
      <c r="I85" s="285">
        <v>-136.69999999999999</v>
      </c>
      <c r="J85" s="285">
        <v>-155.5</v>
      </c>
      <c r="K85" s="227">
        <f>-'Inputs and Drivers'!K78*Model!K55</f>
        <v>-169.17895976091421</v>
      </c>
      <c r="L85" s="227">
        <f>-'Inputs and Drivers'!L78*Model!L55</f>
        <v>-181.74591757673991</v>
      </c>
      <c r="M85" s="227">
        <f>-'Inputs and Drivers'!M78*Model!M55</f>
        <v>-193.46389790662261</v>
      </c>
      <c r="N85" s="227">
        <f>-'Inputs and Drivers'!N78*Model!N55</f>
        <v>-203.99162147045359</v>
      </c>
      <c r="O85" s="227">
        <f>-'Inputs and Drivers'!O78*Model!O55</f>
        <v>-212.97595685594493</v>
      </c>
      <c r="P85" s="227">
        <f>-'Inputs and Drivers'!P78*Model!P55</f>
        <v>-220.06214175437549</v>
      </c>
      <c r="Q85" s="227">
        <f>-'Inputs and Drivers'!Q78*Model!Q55</f>
        <v>-224.90530775777216</v>
      </c>
      <c r="R85" s="227">
        <f>-'Inputs and Drivers'!R78*Model!R55</f>
        <v>-227.18291411484384</v>
      </c>
      <c r="S85" s="286">
        <f t="shared" ref="S85:T85" si="67">$L85*S$6</f>
        <v>-45.436479394184978</v>
      </c>
      <c r="T85" s="286">
        <f t="shared" si="67"/>
        <v>-136.30943818255494</v>
      </c>
    </row>
    <row r="86" spans="1:20" x14ac:dyDescent="0.3">
      <c r="B86" s="258" t="s">
        <v>219</v>
      </c>
      <c r="G86" s="226"/>
      <c r="H86" s="224">
        <f>H75-H73-H85</f>
        <v>207.99999999999994</v>
      </c>
      <c r="I86" s="224">
        <f t="shared" ref="I86:T86" si="68">I75-I73-I85</f>
        <v>402.30000000000013</v>
      </c>
      <c r="J86" s="224">
        <f t="shared" si="68"/>
        <v>469.40000000000003</v>
      </c>
      <c r="K86" s="224">
        <f t="shared" si="68"/>
        <v>660.29997282676618</v>
      </c>
      <c r="L86" s="224">
        <f t="shared" si="68"/>
        <v>754.83671778913458</v>
      </c>
      <c r="M86" s="224">
        <f t="shared" si="68"/>
        <v>857.52778010024065</v>
      </c>
      <c r="N86" s="224">
        <f t="shared" si="68"/>
        <v>968.24407025290429</v>
      </c>
      <c r="O86" s="224">
        <f t="shared" si="68"/>
        <v>1106.3091166429583</v>
      </c>
      <c r="P86" s="224">
        <f t="shared" si="68"/>
        <v>1255.6806180391152</v>
      </c>
      <c r="Q86" s="224">
        <f t="shared" si="68"/>
        <v>1415.8707727811936</v>
      </c>
      <c r="R86" s="224">
        <f t="shared" si="68"/>
        <v>1586.1101291175346</v>
      </c>
      <c r="S86" s="224">
        <f t="shared" si="68"/>
        <v>185.10052583019274</v>
      </c>
      <c r="T86" s="224">
        <f t="shared" si="68"/>
        <v>567.11848095810683</v>
      </c>
    </row>
    <row r="87" spans="1:20" x14ac:dyDescent="0.3">
      <c r="B87" s="258" t="s">
        <v>220</v>
      </c>
      <c r="H87" s="313">
        <f>H86/H55</f>
        <v>0.16690739849141387</v>
      </c>
      <c r="I87" s="313">
        <f>I86/I55</f>
        <v>0.26577261016053388</v>
      </c>
      <c r="J87" s="313">
        <f>J86/J55</f>
        <v>0.26670454545454547</v>
      </c>
      <c r="K87" s="313">
        <f t="shared" ref="K87:T87" si="69">K86/K55</f>
        <v>0.33507862578802255</v>
      </c>
      <c r="L87" s="313">
        <f t="shared" si="69"/>
        <v>0.33826085479066731</v>
      </c>
      <c r="M87" s="313">
        <f t="shared" si="69"/>
        <v>0.34146762194516744</v>
      </c>
      <c r="N87" s="313">
        <f t="shared" si="69"/>
        <v>0.34473690914149158</v>
      </c>
      <c r="O87" s="313">
        <f t="shared" si="69"/>
        <v>0.35438303490681544</v>
      </c>
      <c r="P87" s="313">
        <f t="shared" si="69"/>
        <v>0.36412977018056514</v>
      </c>
      <c r="Q87" s="313">
        <f t="shared" si="69"/>
        <v>0.37399427253517881</v>
      </c>
      <c r="R87" s="313">
        <f t="shared" si="69"/>
        <v>0.38399039576262095</v>
      </c>
      <c r="S87" s="313">
        <f t="shared" si="69"/>
        <v>0.33395252340622555</v>
      </c>
      <c r="T87" s="313">
        <f t="shared" si="69"/>
        <v>0.33865243048697879</v>
      </c>
    </row>
    <row r="89" spans="1:20" ht="18" x14ac:dyDescent="0.35">
      <c r="A89" s="279" t="s">
        <v>120</v>
      </c>
      <c r="B89" s="280" t="s">
        <v>221</v>
      </c>
      <c r="C89" s="281"/>
      <c r="D89" s="281"/>
      <c r="E89" s="281"/>
      <c r="F89" s="281"/>
      <c r="G89" s="281"/>
      <c r="H89" s="281"/>
      <c r="I89" s="281"/>
      <c r="J89" s="281"/>
      <c r="K89" s="281"/>
      <c r="L89" s="281"/>
      <c r="M89" s="281"/>
      <c r="N89" s="281"/>
      <c r="O89" s="281"/>
      <c r="P89" s="281"/>
      <c r="Q89" s="281"/>
      <c r="R89" s="282"/>
      <c r="S89" s="282"/>
      <c r="T89" s="282"/>
    </row>
    <row r="90" spans="1:20" x14ac:dyDescent="0.3">
      <c r="A90" s="288"/>
      <c r="B90" s="316"/>
      <c r="C90" s="314"/>
      <c r="D90" s="314"/>
      <c r="E90" s="314"/>
      <c r="F90" s="314"/>
    </row>
    <row r="91" spans="1:20" ht="15" thickBot="1" x14ac:dyDescent="0.35">
      <c r="A91" s="288"/>
      <c r="B91" s="283" t="s">
        <v>2</v>
      </c>
      <c r="C91" s="314"/>
      <c r="D91" s="314"/>
      <c r="E91" s="314"/>
      <c r="F91" s="314"/>
      <c r="H91" s="42">
        <v>2022</v>
      </c>
      <c r="I91" s="42">
        <v>2023</v>
      </c>
      <c r="J91" s="42">
        <v>2024</v>
      </c>
      <c r="K91" s="43">
        <v>2025</v>
      </c>
      <c r="L91" s="43">
        <f t="shared" ref="L91:Q91" si="70">K91+1</f>
        <v>2026</v>
      </c>
      <c r="M91" s="43">
        <f t="shared" si="70"/>
        <v>2027</v>
      </c>
      <c r="N91" s="43">
        <f t="shared" si="70"/>
        <v>2028</v>
      </c>
      <c r="O91" s="43">
        <f t="shared" si="70"/>
        <v>2029</v>
      </c>
      <c r="P91" s="43">
        <f t="shared" si="70"/>
        <v>2030</v>
      </c>
      <c r="Q91" s="43">
        <f t="shared" si="70"/>
        <v>2031</v>
      </c>
      <c r="R91" s="43">
        <f>Q91+1</f>
        <v>2032</v>
      </c>
      <c r="S91" s="43">
        <f>S10</f>
        <v>2026</v>
      </c>
      <c r="T91" s="43">
        <f t="shared" ref="T91" si="71">T10</f>
        <v>2026</v>
      </c>
    </row>
    <row r="93" spans="1:20" x14ac:dyDescent="0.3">
      <c r="B93" s="291" t="s">
        <v>222</v>
      </c>
    </row>
    <row r="94" spans="1:20" x14ac:dyDescent="0.3">
      <c r="B94" s="258" t="s">
        <v>217</v>
      </c>
      <c r="H94" s="226"/>
      <c r="I94" s="226"/>
      <c r="J94" s="226"/>
      <c r="K94" s="226">
        <f ca="1">K83</f>
        <v>221.51428036656293</v>
      </c>
      <c r="L94" s="226">
        <f t="shared" ref="L94:T94" ca="1" si="72">L83</f>
        <v>95.156739919913065</v>
      </c>
      <c r="M94" s="226">
        <f t="shared" ca="1" si="72"/>
        <v>177.64771735670757</v>
      </c>
      <c r="N94" s="226">
        <f t="shared" ca="1" si="72"/>
        <v>244.32292346972997</v>
      </c>
      <c r="O94" s="226">
        <f t="shared" ca="1" si="72"/>
        <v>341.53269449089686</v>
      </c>
      <c r="P94" s="226">
        <f t="shared" ca="1" si="72"/>
        <v>449.2896022560235</v>
      </c>
      <c r="Q94" s="226">
        <f t="shared" ca="1" si="72"/>
        <v>567.30838707373982</v>
      </c>
      <c r="R94" s="226">
        <f t="shared" ca="1" si="72"/>
        <v>692.41689849654665</v>
      </c>
      <c r="S94" s="226">
        <f t="shared" ca="1" si="72"/>
        <v>77.775303168545406</v>
      </c>
      <c r="T94" s="226">
        <f t="shared" ca="1" si="72"/>
        <v>21.086120945465645</v>
      </c>
    </row>
    <row r="95" spans="1:20" x14ac:dyDescent="0.3">
      <c r="B95" s="258" t="s">
        <v>223</v>
      </c>
      <c r="H95" s="226"/>
      <c r="I95" s="226"/>
      <c r="J95" s="226"/>
      <c r="K95" s="226">
        <f t="shared" ref="K95:R95" si="73">K163</f>
        <v>8.0694727915582121</v>
      </c>
      <c r="L95" s="226">
        <f t="shared" si="73"/>
        <v>-62.958246828368715</v>
      </c>
      <c r="M95" s="226">
        <f t="shared" si="73"/>
        <v>-63.32268849078207</v>
      </c>
      <c r="N95" s="226">
        <f t="shared" si="73"/>
        <v>-68.868239705934116</v>
      </c>
      <c r="O95" s="226">
        <f t="shared" si="73"/>
        <v>-73.229829790697863</v>
      </c>
      <c r="P95" s="226">
        <f t="shared" si="73"/>
        <v>-76.783953066958588</v>
      </c>
      <c r="Q95" s="226">
        <f t="shared" si="73"/>
        <v>-78.646774640958597</v>
      </c>
      <c r="R95" s="226">
        <f t="shared" si="73"/>
        <v>-80.218334746400842</v>
      </c>
      <c r="S95" s="226">
        <f t="shared" ref="S95:T95" si="74">S163</f>
        <v>-15.739561707092207</v>
      </c>
      <c r="T95" s="226">
        <f t="shared" si="74"/>
        <v>-47.218685121276508</v>
      </c>
    </row>
    <row r="96" spans="1:20" x14ac:dyDescent="0.3">
      <c r="B96" s="258" t="s">
        <v>224</v>
      </c>
      <c r="H96" s="226"/>
      <c r="I96" s="226"/>
      <c r="J96" s="226"/>
      <c r="K96" s="226">
        <f>-K73</f>
        <v>177.35239726094514</v>
      </c>
      <c r="L96" s="226">
        <f t="shared" ref="L96:R96" si="75">-L73</f>
        <v>208.27543594203775</v>
      </c>
      <c r="M96" s="226">
        <f t="shared" si="75"/>
        <v>242.75903994689051</v>
      </c>
      <c r="N96" s="226">
        <f t="shared" si="75"/>
        <v>280.8646375185503</v>
      </c>
      <c r="O96" s="226">
        <f t="shared" si="75"/>
        <v>308.2766794895212</v>
      </c>
      <c r="P96" s="226">
        <f t="shared" si="75"/>
        <v>336.22315527264789</v>
      </c>
      <c r="Q96" s="226">
        <f t="shared" si="75"/>
        <v>364.38408790704489</v>
      </c>
      <c r="R96" s="226">
        <f t="shared" si="75"/>
        <v>392.40685165291205</v>
      </c>
      <c r="S96" s="226">
        <f t="shared" ref="S96:T96" si="76">-S73</f>
        <v>52.068858985509436</v>
      </c>
      <c r="T96" s="226">
        <f t="shared" si="76"/>
        <v>156.20657695652829</v>
      </c>
    </row>
    <row r="97" spans="2:21" x14ac:dyDescent="0.3">
      <c r="B97" s="258" t="s">
        <v>225</v>
      </c>
      <c r="H97" s="226"/>
      <c r="I97" s="226"/>
      <c r="J97" s="226"/>
      <c r="K97" s="226">
        <f>K85*-1</f>
        <v>169.17895976091421</v>
      </c>
      <c r="L97" s="226">
        <f t="shared" ref="L97:T97" si="77">L85*-1</f>
        <v>181.74591757673991</v>
      </c>
      <c r="M97" s="226">
        <f t="shared" si="77"/>
        <v>193.46389790662261</v>
      </c>
      <c r="N97" s="226">
        <f t="shared" si="77"/>
        <v>203.99162147045359</v>
      </c>
      <c r="O97" s="226">
        <f t="shared" si="77"/>
        <v>212.97595685594493</v>
      </c>
      <c r="P97" s="226">
        <f t="shared" si="77"/>
        <v>220.06214175437549</v>
      </c>
      <c r="Q97" s="226">
        <f t="shared" si="77"/>
        <v>224.90530775777216</v>
      </c>
      <c r="R97" s="226">
        <f t="shared" si="77"/>
        <v>227.18291411484384</v>
      </c>
      <c r="S97" s="226">
        <f t="shared" si="77"/>
        <v>45.436479394184978</v>
      </c>
      <c r="T97" s="226">
        <f t="shared" si="77"/>
        <v>136.30943818255494</v>
      </c>
    </row>
    <row r="98" spans="2:21" x14ac:dyDescent="0.3">
      <c r="B98" s="291" t="s">
        <v>226</v>
      </c>
      <c r="H98" s="226"/>
      <c r="I98" s="226"/>
      <c r="J98" s="226"/>
      <c r="K98" s="321">
        <f ca="1">SUM(K94:K97)</f>
        <v>576.11511017998055</v>
      </c>
      <c r="L98" s="321">
        <f t="shared" ref="L98:R98" ca="1" si="78">SUM(L94:L97)</f>
        <v>422.21984661032201</v>
      </c>
      <c r="M98" s="321">
        <f t="shared" ca="1" si="78"/>
        <v>550.54796671943859</v>
      </c>
      <c r="N98" s="321">
        <f t="shared" ca="1" si="78"/>
        <v>660.31094275279975</v>
      </c>
      <c r="O98" s="321">
        <f t="shared" ca="1" si="78"/>
        <v>789.5555010456651</v>
      </c>
      <c r="P98" s="321">
        <f t="shared" ca="1" si="78"/>
        <v>928.79094621608829</v>
      </c>
      <c r="Q98" s="321">
        <f t="shared" ca="1" si="78"/>
        <v>1077.9510080975983</v>
      </c>
      <c r="R98" s="321">
        <f t="shared" ca="1" si="78"/>
        <v>1231.7883295179017</v>
      </c>
      <c r="S98" s="321">
        <f t="shared" ref="S98:T98" ca="1" si="79">SUM(S94:S97)</f>
        <v>159.54107984114762</v>
      </c>
      <c r="T98" s="321">
        <f t="shared" ca="1" si="79"/>
        <v>266.38345096327237</v>
      </c>
    </row>
    <row r="99" spans="2:21" x14ac:dyDescent="0.3"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</row>
    <row r="100" spans="2:21" x14ac:dyDescent="0.3">
      <c r="B100" s="291" t="s">
        <v>227</v>
      </c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</row>
    <row r="101" spans="2:21" x14ac:dyDescent="0.3">
      <c r="B101" s="258" t="s">
        <v>228</v>
      </c>
      <c r="H101" s="226"/>
      <c r="I101" s="226"/>
      <c r="J101" s="226"/>
      <c r="K101" s="322">
        <f>-K130</f>
        <v>-19.725359423008729</v>
      </c>
      <c r="L101" s="322">
        <f t="shared" ref="L101:R101" si="80">-L130</f>
        <v>-26.275533363307492</v>
      </c>
      <c r="M101" s="322">
        <f t="shared" si="80"/>
        <v>-34.017420136649477</v>
      </c>
      <c r="N101" s="322">
        <f t="shared" si="80"/>
        <v>-43.033681999329545</v>
      </c>
      <c r="O101" s="322">
        <f t="shared" si="80"/>
        <v>-43.121394059845962</v>
      </c>
      <c r="P101" s="322">
        <f t="shared" si="80"/>
        <v>-42.403917988480664</v>
      </c>
      <c r="Q101" s="322">
        <f t="shared" si="80"/>
        <v>-40.78419017036844</v>
      </c>
      <c r="R101" s="322">
        <f t="shared" si="80"/>
        <v>-38.178862186960217</v>
      </c>
      <c r="S101" s="322">
        <f>-S130</f>
        <v>-6.568883340826873</v>
      </c>
      <c r="T101" s="322">
        <f t="shared" ref="T101:T102" si="81">-T130</f>
        <v>-19.706650022480616</v>
      </c>
    </row>
    <row r="102" spans="2:21" x14ac:dyDescent="0.3">
      <c r="B102" s="258" t="s">
        <v>229</v>
      </c>
      <c r="H102" s="226"/>
      <c r="I102" s="226"/>
      <c r="J102" s="226"/>
      <c r="K102" s="322">
        <f t="shared" ref="K102:S102" si="82">-K131</f>
        <v>-117.09154539641727</v>
      </c>
      <c r="L102" s="322">
        <f t="shared" si="82"/>
        <v>-142.50791550869636</v>
      </c>
      <c r="M102" s="322">
        <f t="shared" si="82"/>
        <v>-171.56160201686018</v>
      </c>
      <c r="N102" s="322">
        <f t="shared" si="82"/>
        <v>-204.40998949681534</v>
      </c>
      <c r="O102" s="322">
        <f t="shared" si="82"/>
        <v>-212.61242904507381</v>
      </c>
      <c r="P102" s="322">
        <f t="shared" si="82"/>
        <v>-218.64520212810339</v>
      </c>
      <c r="Q102" s="322">
        <f t="shared" si="82"/>
        <v>-222.1281786064709</v>
      </c>
      <c r="R102" s="322">
        <f t="shared" si="82"/>
        <v>-222.71002942393463</v>
      </c>
      <c r="S102" s="322">
        <f t="shared" si="82"/>
        <v>-35.626978877174089</v>
      </c>
      <c r="T102" s="322">
        <f t="shared" si="81"/>
        <v>-106.88093663152226</v>
      </c>
    </row>
    <row r="103" spans="2:21" x14ac:dyDescent="0.3">
      <c r="B103" s="291" t="s">
        <v>230</v>
      </c>
      <c r="H103" s="226"/>
      <c r="I103" s="226"/>
      <c r="J103" s="226"/>
      <c r="K103" s="321">
        <f>SUM(K101:K102)</f>
        <v>-136.81690481942601</v>
      </c>
      <c r="L103" s="321">
        <f t="shared" ref="L103:R103" si="83">SUM(L101:L102)</f>
        <v>-168.78344887200385</v>
      </c>
      <c r="M103" s="321">
        <f t="shared" si="83"/>
        <v>-205.57902215350964</v>
      </c>
      <c r="N103" s="321">
        <f t="shared" si="83"/>
        <v>-247.44367149614487</v>
      </c>
      <c r="O103" s="321">
        <f t="shared" si="83"/>
        <v>-255.73382310491976</v>
      </c>
      <c r="P103" s="321">
        <f t="shared" si="83"/>
        <v>-261.04912011658405</v>
      </c>
      <c r="Q103" s="321">
        <f t="shared" si="83"/>
        <v>-262.91236877683934</v>
      </c>
      <c r="R103" s="321">
        <f t="shared" si="83"/>
        <v>-260.88889161089486</v>
      </c>
      <c r="S103" s="321">
        <f t="shared" ref="S103:T103" si="84">SUM(S101:S102)</f>
        <v>-42.195862218000961</v>
      </c>
      <c r="T103" s="321">
        <f t="shared" si="84"/>
        <v>-126.58758665400288</v>
      </c>
    </row>
    <row r="104" spans="2:21" x14ac:dyDescent="0.3"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</row>
    <row r="105" spans="2:21" x14ac:dyDescent="0.3">
      <c r="B105" s="291" t="s">
        <v>231</v>
      </c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</row>
    <row r="106" spans="2:21" x14ac:dyDescent="0.3">
      <c r="B106" s="258" t="s">
        <v>232</v>
      </c>
      <c r="H106" s="226"/>
      <c r="I106" s="226"/>
      <c r="J106" s="226"/>
      <c r="K106" s="226">
        <f>K171</f>
        <v>-3.333333333333333</v>
      </c>
      <c r="L106" s="286">
        <f>SUM(S106:T106)</f>
        <v>-1206.5666666666668</v>
      </c>
      <c r="M106" s="285">
        <v>0</v>
      </c>
      <c r="N106" s="285">
        <v>0</v>
      </c>
      <c r="O106" s="285">
        <v>0</v>
      </c>
      <c r="P106" s="285">
        <v>0</v>
      </c>
      <c r="Q106" s="285">
        <v>0</v>
      </c>
      <c r="R106" s="285">
        <v>0</v>
      </c>
      <c r="S106" s="323">
        <v>0</v>
      </c>
      <c r="T106" s="226">
        <f>T171</f>
        <v>-1206.5666666666668</v>
      </c>
    </row>
    <row r="107" spans="2:21" x14ac:dyDescent="0.3">
      <c r="B107" s="258" t="s">
        <v>233</v>
      </c>
      <c r="H107" s="226"/>
      <c r="I107" s="226"/>
      <c r="J107" s="226"/>
      <c r="K107" s="285">
        <v>0</v>
      </c>
      <c r="L107" s="286">
        <f>SUM(S107:T107)</f>
        <v>-11202.447409999999</v>
      </c>
      <c r="M107" s="285">
        <v>0</v>
      </c>
      <c r="N107" s="285">
        <v>0</v>
      </c>
      <c r="O107" s="285">
        <v>0</v>
      </c>
      <c r="P107" s="285">
        <v>0</v>
      </c>
      <c r="Q107" s="285">
        <v>0</v>
      </c>
      <c r="R107" s="285">
        <v>0</v>
      </c>
      <c r="S107" s="323">
        <v>0</v>
      </c>
      <c r="T107" s="227">
        <f>-'Transaction Details'!O8</f>
        <v>-11202.447409999999</v>
      </c>
    </row>
    <row r="108" spans="2:21" x14ac:dyDescent="0.3">
      <c r="B108" s="258" t="s">
        <v>234</v>
      </c>
      <c r="H108" s="226"/>
      <c r="I108" s="226"/>
      <c r="J108" s="226"/>
      <c r="K108" s="285">
        <v>0</v>
      </c>
      <c r="L108" s="286">
        <f t="shared" ref="L108:L113" ca="1" si="85">SUM(S108:T108)</f>
        <v>0</v>
      </c>
      <c r="M108" s="226">
        <f ca="1">M250</f>
        <v>205.03105543407014</v>
      </c>
      <c r="N108" s="226">
        <f t="shared" ref="N108:R108" ca="1" si="86">N250</f>
        <v>137.13272874334507</v>
      </c>
      <c r="O108" s="226">
        <f t="shared" ca="1" si="86"/>
        <v>16.178322059254697</v>
      </c>
      <c r="P108" s="226">
        <f t="shared" ca="1" si="86"/>
        <v>-117.74182609950424</v>
      </c>
      <c r="Q108" s="226">
        <f t="shared" ca="1" si="86"/>
        <v>-240.60028013716567</v>
      </c>
      <c r="R108" s="226">
        <f t="shared" ca="1" si="86"/>
        <v>0</v>
      </c>
      <c r="S108" s="323">
        <v>0</v>
      </c>
      <c r="T108" s="226">
        <f ca="1">T250</f>
        <v>0</v>
      </c>
    </row>
    <row r="109" spans="2:21" x14ac:dyDescent="0.3">
      <c r="B109" s="258" t="s">
        <v>235</v>
      </c>
      <c r="H109" s="226"/>
      <c r="I109" s="226"/>
      <c r="J109" s="226"/>
      <c r="K109" s="285">
        <v>0</v>
      </c>
      <c r="L109" s="286">
        <f t="shared" ca="1" si="85"/>
        <v>4877.194046040363</v>
      </c>
      <c r="M109" s="226">
        <f ca="1">M251</f>
        <v>-550</v>
      </c>
      <c r="N109" s="226">
        <f t="shared" ref="N109:R109" ca="1" si="87">N251</f>
        <v>-550</v>
      </c>
      <c r="O109" s="226">
        <f t="shared" ca="1" si="87"/>
        <v>-550</v>
      </c>
      <c r="P109" s="226">
        <f t="shared" ca="1" si="87"/>
        <v>-550</v>
      </c>
      <c r="Q109" s="226">
        <f t="shared" ca="1" si="87"/>
        <v>-574.43835918359332</v>
      </c>
      <c r="R109" s="226">
        <f t="shared" ca="1" si="87"/>
        <v>-970.89943790700681</v>
      </c>
      <c r="S109" s="323">
        <v>0</v>
      </c>
      <c r="T109" s="226">
        <f ca="1">T251</f>
        <v>4877.194046040363</v>
      </c>
      <c r="U109" s="315"/>
    </row>
    <row r="110" spans="2:21" x14ac:dyDescent="0.3">
      <c r="B110" s="258" t="s">
        <v>236</v>
      </c>
      <c r="H110" s="226"/>
      <c r="I110" s="226"/>
      <c r="J110" s="226"/>
      <c r="K110" s="285">
        <v>0</v>
      </c>
      <c r="L110" s="286">
        <f t="shared" si="85"/>
        <v>5711.2496357250002</v>
      </c>
      <c r="M110" s="226"/>
      <c r="N110" s="226"/>
      <c r="O110" s="226"/>
      <c r="P110" s="226"/>
      <c r="Q110" s="226"/>
      <c r="R110" s="226"/>
      <c r="S110" s="323">
        <v>0</v>
      </c>
      <c r="T110" s="227">
        <f>'Transaction Details'!G10</f>
        <v>5711.2496357250002</v>
      </c>
    </row>
    <row r="111" spans="2:21" x14ac:dyDescent="0.3">
      <c r="B111" s="258" t="s">
        <v>237</v>
      </c>
      <c r="H111" s="226"/>
      <c r="I111" s="226"/>
      <c r="J111" s="226"/>
      <c r="K111" s="285">
        <v>0</v>
      </c>
      <c r="L111" s="286">
        <f t="shared" si="85"/>
        <v>634.58329285833315</v>
      </c>
      <c r="M111" s="285">
        <v>0</v>
      </c>
      <c r="N111" s="285">
        <v>0</v>
      </c>
      <c r="O111" s="285">
        <v>0</v>
      </c>
      <c r="P111" s="285">
        <v>0</v>
      </c>
      <c r="Q111" s="285">
        <v>0</v>
      </c>
      <c r="R111" s="285">
        <v>0</v>
      </c>
      <c r="S111" s="323">
        <v>0</v>
      </c>
      <c r="T111" s="227">
        <f>'Transaction Details'!G11</f>
        <v>634.58329285833315</v>
      </c>
    </row>
    <row r="112" spans="2:21" x14ac:dyDescent="0.3">
      <c r="B112" s="258" t="s">
        <v>20</v>
      </c>
      <c r="H112" s="226"/>
      <c r="I112" s="226"/>
      <c r="J112" s="226"/>
      <c r="K112" s="285">
        <v>0</v>
      </c>
      <c r="L112" s="286">
        <f t="shared" si="85"/>
        <v>499.99999999999994</v>
      </c>
      <c r="M112" s="285">
        <v>0</v>
      </c>
      <c r="N112" s="285">
        <v>0</v>
      </c>
      <c r="O112" s="285">
        <v>0</v>
      </c>
      <c r="P112" s="285">
        <v>0</v>
      </c>
      <c r="Q112" s="285">
        <v>0</v>
      </c>
      <c r="R112" s="285">
        <v>0</v>
      </c>
      <c r="S112" s="323">
        <v>0</v>
      </c>
      <c r="T112" s="227">
        <f>'Transaction Details'!G12</f>
        <v>499.99999999999994</v>
      </c>
    </row>
    <row r="113" spans="1:20" x14ac:dyDescent="0.3">
      <c r="B113" s="258" t="s">
        <v>238</v>
      </c>
      <c r="H113" s="226"/>
      <c r="I113" s="226"/>
      <c r="J113" s="226"/>
      <c r="K113" s="285">
        <v>0</v>
      </c>
      <c r="L113" s="286">
        <f t="shared" si="85"/>
        <v>-436.81885191666663</v>
      </c>
      <c r="M113" s="285">
        <v>0</v>
      </c>
      <c r="N113" s="285">
        <v>0</v>
      </c>
      <c r="O113" s="285">
        <v>0</v>
      </c>
      <c r="P113" s="285">
        <v>0</v>
      </c>
      <c r="Q113" s="285">
        <v>0</v>
      </c>
      <c r="R113" s="285">
        <v>0</v>
      </c>
      <c r="S113" s="323">
        <v>0</v>
      </c>
      <c r="T113" s="227">
        <f>-'Transaction Details'!O10</f>
        <v>-436.81885191666663</v>
      </c>
    </row>
    <row r="114" spans="1:20" x14ac:dyDescent="0.3">
      <c r="B114" s="291" t="s">
        <v>239</v>
      </c>
      <c r="H114" s="226"/>
      <c r="I114" s="226"/>
      <c r="J114" s="226"/>
      <c r="K114" s="321">
        <f>SUM(K106:K113)</f>
        <v>-3.333333333333333</v>
      </c>
      <c r="L114" s="321">
        <f t="shared" ref="L114:R114" ca="1" si="88">SUM(L106:L113)</f>
        <v>-1122.8059539596366</v>
      </c>
      <c r="M114" s="321">
        <f t="shared" ca="1" si="88"/>
        <v>-344.96894456592986</v>
      </c>
      <c r="N114" s="321">
        <f t="shared" ca="1" si="88"/>
        <v>-412.86727125665493</v>
      </c>
      <c r="O114" s="321">
        <f t="shared" ca="1" si="88"/>
        <v>-533.8216779407453</v>
      </c>
      <c r="P114" s="321">
        <f t="shared" ca="1" si="88"/>
        <v>-667.74182609950424</v>
      </c>
      <c r="Q114" s="321">
        <f t="shared" ca="1" si="88"/>
        <v>-815.03863932075899</v>
      </c>
      <c r="R114" s="321">
        <f t="shared" ca="1" si="88"/>
        <v>-970.89943790700681</v>
      </c>
      <c r="S114" s="321">
        <f t="shared" ref="S114" si="89">SUM(S106:S113)</f>
        <v>0</v>
      </c>
      <c r="T114" s="321">
        <f ca="1">SUM(T106:T113)</f>
        <v>-1122.8059539596366</v>
      </c>
    </row>
    <row r="115" spans="1:20" x14ac:dyDescent="0.3">
      <c r="H115" s="226"/>
      <c r="I115" s="226"/>
      <c r="J115" s="226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</row>
    <row r="116" spans="1:20" x14ac:dyDescent="0.3">
      <c r="B116" s="291" t="s">
        <v>240</v>
      </c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T116" s="226"/>
    </row>
    <row r="117" spans="1:20" x14ac:dyDescent="0.3">
      <c r="B117" s="258" t="s">
        <v>241</v>
      </c>
      <c r="H117" s="226"/>
      <c r="I117" s="226"/>
      <c r="J117" s="226"/>
      <c r="K117" s="226">
        <f>J119</f>
        <v>579.70000000000005</v>
      </c>
      <c r="L117" s="226">
        <f ca="1">K119</f>
        <v>1015.6648720272212</v>
      </c>
      <c r="M117" s="226">
        <f ca="1">L119</f>
        <v>150.00000000000091</v>
      </c>
      <c r="N117" s="226">
        <f t="shared" ref="N117:R117" ca="1" si="90">M119</f>
        <v>150</v>
      </c>
      <c r="O117" s="226">
        <f t="shared" ca="1" si="90"/>
        <v>150</v>
      </c>
      <c r="P117" s="226">
        <f t="shared" ca="1" si="90"/>
        <v>150</v>
      </c>
      <c r="Q117" s="226">
        <f t="shared" ca="1" si="90"/>
        <v>150</v>
      </c>
      <c r="R117" s="226">
        <f t="shared" ca="1" si="90"/>
        <v>150</v>
      </c>
      <c r="S117" s="226">
        <f ca="1">K119</f>
        <v>1015.6648720272212</v>
      </c>
      <c r="T117" s="226">
        <f ca="1">S119</f>
        <v>1133.0100896503679</v>
      </c>
    </row>
    <row r="118" spans="1:20" x14ac:dyDescent="0.3">
      <c r="B118" s="258" t="s">
        <v>242</v>
      </c>
      <c r="H118" s="226"/>
      <c r="I118" s="226"/>
      <c r="J118" s="226"/>
      <c r="K118" s="226">
        <f ca="1">K98+K103+K114</f>
        <v>435.96487202722125</v>
      </c>
      <c r="L118" s="226">
        <f ca="1">SUM(S118:T118)</f>
        <v>-865.66487202722033</v>
      </c>
      <c r="M118" s="226">
        <f t="shared" ref="M118:S118" ca="1" si="91">M98+M103+M114</f>
        <v>-9.0949470177292824E-13</v>
      </c>
      <c r="N118" s="226">
        <f t="shared" ca="1" si="91"/>
        <v>0</v>
      </c>
      <c r="O118" s="226">
        <f t="shared" ca="1" si="91"/>
        <v>0</v>
      </c>
      <c r="P118" s="226">
        <f t="shared" ca="1" si="91"/>
        <v>0</v>
      </c>
      <c r="Q118" s="226">
        <f t="shared" ca="1" si="91"/>
        <v>0</v>
      </c>
      <c r="R118" s="226">
        <f t="shared" ca="1" si="91"/>
        <v>0</v>
      </c>
      <c r="S118" s="226">
        <f t="shared" ca="1" si="91"/>
        <v>117.34521762314665</v>
      </c>
      <c r="T118" s="226">
        <f ca="1">T98+T103+T114</f>
        <v>-983.01008965036704</v>
      </c>
    </row>
    <row r="119" spans="1:20" x14ac:dyDescent="0.3">
      <c r="B119" s="291" t="s">
        <v>243</v>
      </c>
      <c r="H119" s="226"/>
      <c r="I119" s="285"/>
      <c r="J119" s="324">
        <v>579.70000000000005</v>
      </c>
      <c r="K119" s="325">
        <f ca="1">SUM(K117:K118)</f>
        <v>1015.6648720272212</v>
      </c>
      <c r="L119" s="325">
        <f ca="1">SUM(L117:L118)</f>
        <v>150.00000000000091</v>
      </c>
      <c r="M119" s="325">
        <f t="shared" ref="M119:R119" ca="1" si="92">SUM(M117:M118)</f>
        <v>150</v>
      </c>
      <c r="N119" s="325">
        <f t="shared" ca="1" si="92"/>
        <v>150</v>
      </c>
      <c r="O119" s="325">
        <f t="shared" ca="1" si="92"/>
        <v>150</v>
      </c>
      <c r="P119" s="325">
        <f t="shared" ca="1" si="92"/>
        <v>150</v>
      </c>
      <c r="Q119" s="325">
        <f t="shared" ca="1" si="92"/>
        <v>150</v>
      </c>
      <c r="R119" s="325">
        <f t="shared" ca="1" si="92"/>
        <v>150</v>
      </c>
      <c r="S119" s="325">
        <f ca="1">SUM(S117:S118)</f>
        <v>1133.0100896503679</v>
      </c>
      <c r="T119" s="325">
        <f t="shared" ref="T119" ca="1" si="93">SUM(T117:T118)</f>
        <v>150.00000000000091</v>
      </c>
    </row>
    <row r="120" spans="1:20" x14ac:dyDescent="0.3">
      <c r="B120" s="291"/>
    </row>
    <row r="121" spans="1:20" ht="18" x14ac:dyDescent="0.35">
      <c r="A121" s="279" t="s">
        <v>120</v>
      </c>
      <c r="B121" s="326" t="s">
        <v>244</v>
      </c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  <c r="R121" s="282"/>
      <c r="S121" s="282"/>
      <c r="T121" s="282"/>
    </row>
    <row r="122" spans="1:20" x14ac:dyDescent="0.3">
      <c r="B122" s="291"/>
    </row>
    <row r="123" spans="1:20" ht="15" thickBot="1" x14ac:dyDescent="0.35">
      <c r="B123" s="283" t="s">
        <v>2</v>
      </c>
      <c r="C123" s="314"/>
      <c r="D123" s="314"/>
      <c r="E123" s="314"/>
      <c r="F123" s="314"/>
      <c r="H123" s="42">
        <v>2022</v>
      </c>
      <c r="I123" s="42">
        <v>2023</v>
      </c>
      <c r="J123" s="42">
        <v>2024</v>
      </c>
      <c r="K123" s="43">
        <v>2025</v>
      </c>
      <c r="L123" s="43">
        <f t="shared" ref="L123" si="94">K123+1</f>
        <v>2026</v>
      </c>
      <c r="M123" s="43">
        <f t="shared" ref="M123" si="95">L123+1</f>
        <v>2027</v>
      </c>
      <c r="N123" s="43">
        <f t="shared" ref="N123" si="96">M123+1</f>
        <v>2028</v>
      </c>
      <c r="O123" s="43">
        <f t="shared" ref="O123" si="97">N123+1</f>
        <v>2029</v>
      </c>
      <c r="P123" s="43">
        <f t="shared" ref="P123" si="98">O123+1</f>
        <v>2030</v>
      </c>
      <c r="Q123" s="43">
        <f t="shared" ref="Q123" si="99">P123+1</f>
        <v>2031</v>
      </c>
      <c r="R123" s="43">
        <f>Q123+1</f>
        <v>2032</v>
      </c>
      <c r="S123" s="43">
        <f>S10</f>
        <v>2026</v>
      </c>
      <c r="T123" s="43">
        <f t="shared" ref="T123" si="100">T10</f>
        <v>2026</v>
      </c>
    </row>
    <row r="124" spans="1:20" x14ac:dyDescent="0.3">
      <c r="B124" s="291"/>
    </row>
    <row r="125" spans="1:20" x14ac:dyDescent="0.3">
      <c r="B125" s="258" t="s">
        <v>245</v>
      </c>
    </row>
    <row r="126" spans="1:20" x14ac:dyDescent="0.3">
      <c r="B126" s="291"/>
    </row>
    <row r="127" spans="1:20" x14ac:dyDescent="0.3">
      <c r="B127" s="258" t="s">
        <v>162</v>
      </c>
      <c r="H127" s="308">
        <f>H130/H23</f>
        <v>2.0880711184618567E-2</v>
      </c>
      <c r="I127" s="308">
        <f>I130/I23</f>
        <v>1.6835016835016835E-2</v>
      </c>
      <c r="J127" s="308">
        <f>J130/J23</f>
        <v>1.0858010630220198E-2</v>
      </c>
      <c r="K127" s="327">
        <f>'Inputs and Drivers'!K102</f>
        <v>1.3143507972665149E-2</v>
      </c>
      <c r="L127" s="327">
        <f>'Inputs and Drivers'!L102</f>
        <v>1.5429005315110099E-2</v>
      </c>
      <c r="M127" s="327">
        <f>'Inputs and Drivers'!M102</f>
        <v>1.7714502657555049E-2</v>
      </c>
      <c r="N127" s="327">
        <f>'Inputs and Drivers'!N102</f>
        <v>0.02</v>
      </c>
      <c r="O127" s="327">
        <f>'Inputs and Drivers'!O102</f>
        <v>1.8000000000000002E-2</v>
      </c>
      <c r="P127" s="327">
        <f>'Inputs and Drivers'!P102</f>
        <v>1.6E-2</v>
      </c>
      <c r="Q127" s="327">
        <f>'Inputs and Drivers'!Q102</f>
        <v>1.4E-2</v>
      </c>
      <c r="R127" s="327">
        <f>'Inputs and Drivers'!R102</f>
        <v>1.2E-2</v>
      </c>
      <c r="S127" s="328">
        <f>$L127</f>
        <v>1.5429005315110099E-2</v>
      </c>
      <c r="T127" s="328">
        <f t="shared" ref="T127:T128" si="101">$L127</f>
        <v>1.5429005315110099E-2</v>
      </c>
    </row>
    <row r="128" spans="1:20" x14ac:dyDescent="0.3">
      <c r="B128" s="258" t="s">
        <v>163</v>
      </c>
      <c r="H128" s="308">
        <f>H131/H23</f>
        <v>7.6803804010750473E-2</v>
      </c>
      <c r="I128" s="308">
        <f>I131/I23</f>
        <v>8.4529505582137177E-2</v>
      </c>
      <c r="J128" s="308">
        <f>J131/J23</f>
        <v>7.2361427486712218E-2</v>
      </c>
      <c r="K128" s="327">
        <f>'Inputs and Drivers'!K103</f>
        <v>7.802107061503416E-2</v>
      </c>
      <c r="L128" s="327">
        <f>'Inputs and Drivers'!L103</f>
        <v>8.3680713743356103E-2</v>
      </c>
      <c r="M128" s="327">
        <f>'Inputs and Drivers'!M103</f>
        <v>8.9340356871678045E-2</v>
      </c>
      <c r="N128" s="327">
        <f>'Inputs and Drivers'!N103</f>
        <v>9.5000000000000001E-2</v>
      </c>
      <c r="O128" s="327">
        <f>'Inputs and Drivers'!O103</f>
        <v>8.8749999999999996E-2</v>
      </c>
      <c r="P128" s="327">
        <f>'Inputs and Drivers'!P103</f>
        <v>8.249999999999999E-2</v>
      </c>
      <c r="Q128" s="327">
        <f>'Inputs and Drivers'!Q103</f>
        <v>7.6249999999999984E-2</v>
      </c>
      <c r="R128" s="327">
        <f>'Inputs and Drivers'!R103</f>
        <v>7.0000000000000007E-2</v>
      </c>
      <c r="S128" s="328">
        <f t="shared" ref="S128" si="102">$L128</f>
        <v>8.3680713743356103E-2</v>
      </c>
      <c r="T128" s="328">
        <f t="shared" si="101"/>
        <v>8.3680713743356103E-2</v>
      </c>
    </row>
    <row r="130" spans="1:20" x14ac:dyDescent="0.3">
      <c r="B130" s="258" t="s">
        <v>246</v>
      </c>
      <c r="H130" s="285">
        <v>20.2</v>
      </c>
      <c r="I130" s="285">
        <v>19</v>
      </c>
      <c r="J130" s="285">
        <v>14.3</v>
      </c>
      <c r="K130" s="226">
        <f>K127*K$57</f>
        <v>19.725359423008729</v>
      </c>
      <c r="L130" s="226">
        <f t="shared" ref="L130:R130" si="103">L127*L$57</f>
        <v>26.275533363307492</v>
      </c>
      <c r="M130" s="226">
        <f t="shared" si="103"/>
        <v>34.017420136649477</v>
      </c>
      <c r="N130" s="226">
        <f t="shared" si="103"/>
        <v>43.033681999329545</v>
      </c>
      <c r="O130" s="226">
        <f t="shared" si="103"/>
        <v>43.121394059845962</v>
      </c>
      <c r="P130" s="226">
        <f t="shared" si="103"/>
        <v>42.403917988480664</v>
      </c>
      <c r="Q130" s="226">
        <f t="shared" si="103"/>
        <v>40.78419017036844</v>
      </c>
      <c r="R130" s="226">
        <f t="shared" si="103"/>
        <v>38.178862186960217</v>
      </c>
      <c r="S130" s="226">
        <f>S$57*$S127</f>
        <v>6.568883340826873</v>
      </c>
      <c r="T130" s="226">
        <f t="shared" ref="T130:T131" si="104">T$57*$S127</f>
        <v>19.706650022480616</v>
      </c>
    </row>
    <row r="131" spans="1:20" x14ac:dyDescent="0.3">
      <c r="B131" s="258" t="s">
        <v>229</v>
      </c>
      <c r="H131" s="285">
        <v>74.3</v>
      </c>
      <c r="I131" s="285">
        <v>95.4</v>
      </c>
      <c r="J131" s="285">
        <v>95.3</v>
      </c>
      <c r="K131" s="226">
        <f>K128*K$57</f>
        <v>117.09154539641727</v>
      </c>
      <c r="L131" s="226">
        <f t="shared" ref="L131:R131" si="105">L128*L$57</f>
        <v>142.50791550869636</v>
      </c>
      <c r="M131" s="226">
        <f t="shared" si="105"/>
        <v>171.56160201686018</v>
      </c>
      <c r="N131" s="226">
        <f t="shared" si="105"/>
        <v>204.40998949681534</v>
      </c>
      <c r="O131" s="226">
        <f t="shared" si="105"/>
        <v>212.61242904507381</v>
      </c>
      <c r="P131" s="226">
        <f t="shared" si="105"/>
        <v>218.64520212810339</v>
      </c>
      <c r="Q131" s="226">
        <f t="shared" si="105"/>
        <v>222.1281786064709</v>
      </c>
      <c r="R131" s="226">
        <f t="shared" si="105"/>
        <v>222.71002942393463</v>
      </c>
      <c r="S131" s="226">
        <f t="shared" ref="S131" si="106">S$57*$S128</f>
        <v>35.626978877174089</v>
      </c>
      <c r="T131" s="226">
        <f t="shared" si="104"/>
        <v>106.88093663152226</v>
      </c>
    </row>
    <row r="132" spans="1:20" x14ac:dyDescent="0.3">
      <c r="B132" s="291" t="s">
        <v>247</v>
      </c>
      <c r="H132" s="325">
        <f>SUM(H130:H131)</f>
        <v>94.5</v>
      </c>
      <c r="I132" s="325">
        <f t="shared" ref="I132:J132" si="107">SUM(I130:I131)</f>
        <v>114.4</v>
      </c>
      <c r="J132" s="325">
        <f t="shared" si="107"/>
        <v>109.6</v>
      </c>
      <c r="K132" s="325">
        <f>SUM(K130:K131)</f>
        <v>136.81690481942601</v>
      </c>
      <c r="L132" s="325">
        <f t="shared" ref="L132:R132" si="108">SUM(L130:L131)</f>
        <v>168.78344887200385</v>
      </c>
      <c r="M132" s="325">
        <f t="shared" si="108"/>
        <v>205.57902215350964</v>
      </c>
      <c r="N132" s="325">
        <f t="shared" si="108"/>
        <v>247.44367149614487</v>
      </c>
      <c r="O132" s="325">
        <f t="shared" si="108"/>
        <v>255.73382310491976</v>
      </c>
      <c r="P132" s="325">
        <f t="shared" si="108"/>
        <v>261.04912011658405</v>
      </c>
      <c r="Q132" s="325">
        <f t="shared" si="108"/>
        <v>262.91236877683934</v>
      </c>
      <c r="R132" s="325">
        <f t="shared" si="108"/>
        <v>260.88889161089486</v>
      </c>
      <c r="S132" s="325">
        <f>SUM(S130:S131)</f>
        <v>42.195862218000961</v>
      </c>
      <c r="T132" s="325">
        <f>SUM(T130:T131)</f>
        <v>126.58758665400288</v>
      </c>
    </row>
    <row r="134" spans="1:20" ht="18" x14ac:dyDescent="0.35">
      <c r="A134" s="279" t="s">
        <v>120</v>
      </c>
      <c r="B134" s="326" t="s">
        <v>248</v>
      </c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  <c r="R134" s="282"/>
      <c r="S134" s="282"/>
      <c r="T134" s="282"/>
    </row>
    <row r="136" spans="1:20" ht="15" thickBot="1" x14ac:dyDescent="0.35">
      <c r="B136" s="283" t="s">
        <v>2</v>
      </c>
      <c r="H136" s="42">
        <v>2022</v>
      </c>
      <c r="I136" s="42">
        <v>2023</v>
      </c>
      <c r="J136" s="42">
        <v>2024</v>
      </c>
      <c r="K136" s="43">
        <v>2025</v>
      </c>
      <c r="L136" s="43">
        <f t="shared" ref="L136" si="109">K136+1</f>
        <v>2026</v>
      </c>
      <c r="M136" s="43">
        <f t="shared" ref="M136" si="110">L136+1</f>
        <v>2027</v>
      </c>
      <c r="N136" s="43">
        <f t="shared" ref="N136" si="111">M136+1</f>
        <v>2028</v>
      </c>
      <c r="O136" s="43">
        <f t="shared" ref="O136" si="112">N136+1</f>
        <v>2029</v>
      </c>
      <c r="P136" s="43">
        <f t="shared" ref="P136" si="113">O136+1</f>
        <v>2030</v>
      </c>
      <c r="Q136" s="43">
        <f t="shared" ref="Q136" si="114">P136+1</f>
        <v>2031</v>
      </c>
      <c r="R136" s="43">
        <f>Q136+1</f>
        <v>2032</v>
      </c>
      <c r="S136" s="43">
        <f>S10</f>
        <v>2026</v>
      </c>
      <c r="T136" s="43">
        <f>T10</f>
        <v>2026</v>
      </c>
    </row>
    <row r="138" spans="1:20" x14ac:dyDescent="0.3">
      <c r="B138" s="258" t="s">
        <v>249</v>
      </c>
      <c r="H138" s="227">
        <f>'Transaction Details'!H27</f>
        <v>365</v>
      </c>
      <c r="I138" s="226">
        <f>H138</f>
        <v>365</v>
      </c>
      <c r="J138" s="226">
        <f t="shared" ref="J138:R138" si="115">I138</f>
        <v>365</v>
      </c>
      <c r="K138" s="226">
        <f t="shared" si="115"/>
        <v>365</v>
      </c>
      <c r="L138" s="226">
        <f t="shared" si="115"/>
        <v>365</v>
      </c>
      <c r="M138" s="226">
        <f t="shared" si="115"/>
        <v>365</v>
      </c>
      <c r="N138" s="226">
        <f t="shared" si="115"/>
        <v>365</v>
      </c>
      <c r="O138" s="226">
        <f t="shared" si="115"/>
        <v>365</v>
      </c>
      <c r="P138" s="226">
        <f t="shared" si="115"/>
        <v>365</v>
      </c>
      <c r="Q138" s="226">
        <f t="shared" si="115"/>
        <v>365</v>
      </c>
      <c r="R138" s="226">
        <f t="shared" si="115"/>
        <v>365</v>
      </c>
      <c r="S138" s="329">
        <f>S5</f>
        <v>91.25</v>
      </c>
      <c r="T138" s="329">
        <f>T5</f>
        <v>273.75</v>
      </c>
    </row>
    <row r="139" spans="1:20" x14ac:dyDescent="0.3">
      <c r="B139" s="258" t="s">
        <v>250</v>
      </c>
      <c r="H139" s="226">
        <f t="shared" ref="H139:R139" si="116">H23</f>
        <v>967.39999999999986</v>
      </c>
      <c r="I139" s="226">
        <f t="shared" si="116"/>
        <v>1128.5999999999999</v>
      </c>
      <c r="J139" s="226">
        <f t="shared" si="116"/>
        <v>1317</v>
      </c>
      <c r="K139" s="226">
        <f t="shared" si="116"/>
        <v>1500.7682472618426</v>
      </c>
      <c r="L139" s="226">
        <f t="shared" si="116"/>
        <v>1702.9959369820849</v>
      </c>
      <c r="M139" s="226">
        <f t="shared" si="116"/>
        <v>1920.3147158151464</v>
      </c>
      <c r="N139" s="226">
        <f t="shared" si="116"/>
        <v>2151.6840999664773</v>
      </c>
      <c r="O139" s="226">
        <f t="shared" si="116"/>
        <v>2395.6330033247755</v>
      </c>
      <c r="P139" s="226">
        <f t="shared" si="116"/>
        <v>2650.2448742800416</v>
      </c>
      <c r="Q139" s="226">
        <f t="shared" si="116"/>
        <v>2913.1564407406026</v>
      </c>
      <c r="R139" s="226">
        <f t="shared" si="116"/>
        <v>3181.5718489133515</v>
      </c>
      <c r="S139" s="226">
        <f>S23</f>
        <v>425.74898424552123</v>
      </c>
      <c r="T139" s="226">
        <f>T23</f>
        <v>1277.2469527365636</v>
      </c>
    </row>
    <row r="140" spans="1:20" x14ac:dyDescent="0.3">
      <c r="B140" s="258" t="s">
        <v>195</v>
      </c>
      <c r="H140" s="226">
        <f t="shared" ref="H140:R140" si="117">H12</f>
        <v>1246.2</v>
      </c>
      <c r="I140" s="226">
        <f t="shared" si="117"/>
        <v>1513.7</v>
      </c>
      <c r="J140" s="226">
        <f t="shared" si="117"/>
        <v>1760</v>
      </c>
      <c r="K140" s="226">
        <f t="shared" si="117"/>
        <v>1970.5821917882795</v>
      </c>
      <c r="L140" s="226">
        <f t="shared" si="117"/>
        <v>2231.5225279504043</v>
      </c>
      <c r="M140" s="226">
        <f t="shared" si="117"/>
        <v>2511.3004132436945</v>
      </c>
      <c r="N140" s="226">
        <f t="shared" si="117"/>
        <v>2808.6463751855026</v>
      </c>
      <c r="O140" s="226">
        <f t="shared" si="117"/>
        <v>3121.7891593875561</v>
      </c>
      <c r="P140" s="226">
        <f t="shared" si="117"/>
        <v>3448.4426181810036</v>
      </c>
      <c r="Q140" s="226">
        <f t="shared" si="117"/>
        <v>3785.8087055277388</v>
      </c>
      <c r="R140" s="226">
        <f t="shared" si="117"/>
        <v>4130.598438451706</v>
      </c>
      <c r="S140" s="226">
        <f>S12</f>
        <v>554.27197837051017</v>
      </c>
      <c r="T140" s="226">
        <f>T12</f>
        <v>1674.6328385790591</v>
      </c>
    </row>
    <row r="141" spans="1:20" x14ac:dyDescent="0.3">
      <c r="B141" s="258" t="s">
        <v>251</v>
      </c>
      <c r="H141" s="226">
        <f>-H61</f>
        <v>772.99999999999989</v>
      </c>
      <c r="I141" s="226">
        <f t="shared" ref="I141:R141" si="118">-I61</f>
        <v>867.19999999999993</v>
      </c>
      <c r="J141" s="226">
        <f t="shared" si="118"/>
        <v>947.9</v>
      </c>
      <c r="K141" s="226">
        <f t="shared" si="118"/>
        <v>987.12566777425718</v>
      </c>
      <c r="L141" s="226">
        <f t="shared" si="118"/>
        <v>1119.8217292705099</v>
      </c>
      <c r="M141" s="226">
        <f t="shared" si="118"/>
        <v>1262.5072237844613</v>
      </c>
      <c r="N141" s="226">
        <f t="shared" si="118"/>
        <v>1414.5490359451835</v>
      </c>
      <c r="O141" s="226">
        <f t="shared" si="118"/>
        <v>1533.7033764406888</v>
      </c>
      <c r="P141" s="226">
        <f t="shared" si="118"/>
        <v>1651.5089526371744</v>
      </c>
      <c r="Q141" s="226">
        <f t="shared" si="118"/>
        <v>1766.1045686333398</v>
      </c>
      <c r="R141" s="226">
        <f t="shared" si="118"/>
        <v>1875.5414762920202</v>
      </c>
      <c r="S141" s="226">
        <f>-S61</f>
        <v>279.95543231762747</v>
      </c>
      <c r="T141" s="226">
        <f t="shared" ref="T141" si="119">-T61</f>
        <v>839.86629695288252</v>
      </c>
    </row>
    <row r="142" spans="1:20" x14ac:dyDescent="0.3">
      <c r="C142" s="330"/>
      <c r="D142" s="330"/>
      <c r="E142" s="330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</row>
    <row r="143" spans="1:20" x14ac:dyDescent="0.3">
      <c r="B143" s="330" t="s">
        <v>150</v>
      </c>
      <c r="C143" s="258" t="s">
        <v>151</v>
      </c>
      <c r="G143" s="331"/>
      <c r="H143" s="332">
        <f>H152/H140*H138</f>
        <v>52.749558658321291</v>
      </c>
      <c r="I143" s="333">
        <f t="shared" ref="I143:J143" si="120">I152/I140*I138</f>
        <v>55.170773601109865</v>
      </c>
      <c r="J143" s="333">
        <f t="shared" si="120"/>
        <v>54.915909090909089</v>
      </c>
      <c r="K143" s="334">
        <f>'Inputs and Drivers'!K84</f>
        <v>54.278747116780075</v>
      </c>
      <c r="L143" s="334">
        <f>'Inputs and Drivers'!L84</f>
        <v>53.953211814382918</v>
      </c>
      <c r="M143" s="334">
        <f>'Inputs and Drivers'!M84</f>
        <v>53.627676511985761</v>
      </c>
      <c r="N143" s="334">
        <f>'Inputs and Drivers'!N84</f>
        <v>53.302141209588605</v>
      </c>
      <c r="O143" s="334">
        <f>'Inputs and Drivers'!O84</f>
        <v>52.976605907191448</v>
      </c>
      <c r="P143" s="334">
        <f>'Inputs and Drivers'!P84</f>
        <v>52.651070604794292</v>
      </c>
      <c r="Q143" s="334">
        <f>'Inputs and Drivers'!Q84</f>
        <v>52.325535302397135</v>
      </c>
      <c r="R143" s="335">
        <f>'Inputs and Drivers'!R84</f>
        <v>52</v>
      </c>
      <c r="S143" s="333">
        <f>$L143</f>
        <v>53.953211814382918</v>
      </c>
      <c r="T143" s="336">
        <f t="shared" ref="T143:T148" si="121">$L143</f>
        <v>53.953211814382918</v>
      </c>
    </row>
    <row r="144" spans="1:20" x14ac:dyDescent="0.3">
      <c r="B144" s="258" t="s">
        <v>152</v>
      </c>
      <c r="C144" s="258" t="s">
        <v>153</v>
      </c>
      <c r="G144" s="331"/>
      <c r="H144" s="337">
        <f>H153/H141</f>
        <v>0.12677878395860287</v>
      </c>
      <c r="I144" s="338">
        <f t="shared" ref="I144:J144" si="122">I153/I141</f>
        <v>0.14610239852398527</v>
      </c>
      <c r="J144" s="338">
        <f t="shared" si="122"/>
        <v>0.14505749551640468</v>
      </c>
      <c r="K144" s="339">
        <f>'Inputs and Drivers'!K85</f>
        <v>0.13931289266633093</v>
      </c>
      <c r="L144" s="339">
        <f>'Inputs and Drivers'!L85</f>
        <v>0.13931289266633093</v>
      </c>
      <c r="M144" s="339">
        <f>'Inputs and Drivers'!M85</f>
        <v>0.13931289266633093</v>
      </c>
      <c r="N144" s="339">
        <f>'Inputs and Drivers'!N85</f>
        <v>0.13931289266633093</v>
      </c>
      <c r="O144" s="339">
        <f>'Inputs and Drivers'!O85</f>
        <v>0.13931289266633093</v>
      </c>
      <c r="P144" s="339">
        <f>'Inputs and Drivers'!P85</f>
        <v>0.13931289266633093</v>
      </c>
      <c r="Q144" s="339">
        <f>'Inputs and Drivers'!Q85</f>
        <v>0.13931289266633093</v>
      </c>
      <c r="R144" s="340">
        <f>'Inputs and Drivers'!R85</f>
        <v>0.13931289266633093</v>
      </c>
      <c r="S144" s="298">
        <f t="shared" ref="S144:S148" si="123">$L144</f>
        <v>0.13931289266633093</v>
      </c>
      <c r="T144" s="341">
        <f t="shared" si="121"/>
        <v>0.13931289266633093</v>
      </c>
    </row>
    <row r="145" spans="2:20" x14ac:dyDescent="0.3">
      <c r="B145" s="258" t="s">
        <v>154</v>
      </c>
      <c r="C145" s="258" t="s">
        <v>155</v>
      </c>
      <c r="G145" s="331"/>
      <c r="H145" s="337"/>
      <c r="I145" s="338">
        <f>I154/I23</f>
        <v>0.17021088073719653</v>
      </c>
      <c r="J145" s="338">
        <f>J154/J23</f>
        <v>0.1760060744115414</v>
      </c>
      <c r="K145" s="339">
        <f>'Inputs and Drivers'!K86</f>
        <v>0.17310847757436898</v>
      </c>
      <c r="L145" s="339">
        <f>'Inputs and Drivers'!L86</f>
        <v>0.17455727599295517</v>
      </c>
      <c r="M145" s="339">
        <f>'Inputs and Drivers'!M86</f>
        <v>0.17383287678366208</v>
      </c>
      <c r="N145" s="339">
        <f>'Inputs and Drivers'!N86</f>
        <v>0.17419507638830861</v>
      </c>
      <c r="O145" s="339">
        <f>'Inputs and Drivers'!O86</f>
        <v>0.17401397658598533</v>
      </c>
      <c r="P145" s="339">
        <f>'Inputs and Drivers'!P86</f>
        <v>0.17410452648714697</v>
      </c>
      <c r="Q145" s="339">
        <f>'Inputs and Drivers'!Q86</f>
        <v>0.17405925153656615</v>
      </c>
      <c r="R145" s="340">
        <f>'Inputs and Drivers'!R86</f>
        <v>0.17408188901185656</v>
      </c>
      <c r="S145" s="298">
        <f t="shared" si="123"/>
        <v>0.17455727599295517</v>
      </c>
      <c r="T145" s="341">
        <f t="shared" si="121"/>
        <v>0.17455727599295517</v>
      </c>
    </row>
    <row r="146" spans="2:20" x14ac:dyDescent="0.3">
      <c r="B146" s="258" t="s">
        <v>156</v>
      </c>
      <c r="C146" s="258" t="s">
        <v>151</v>
      </c>
      <c r="G146" s="331"/>
      <c r="H146" s="342">
        <f>H155/H141*H138</f>
        <v>25.639715394566629</v>
      </c>
      <c r="I146" s="226">
        <f t="shared" ref="I146:J146" si="124">I155/I141*I138</f>
        <v>28.073685424354245</v>
      </c>
      <c r="J146" s="226">
        <f t="shared" si="124"/>
        <v>29.649752083553118</v>
      </c>
      <c r="K146" s="227">
        <f>'Inputs and Drivers'!K87</f>
        <v>28.861718753953681</v>
      </c>
      <c r="L146" s="227">
        <f>'Inputs and Drivers'!L87</f>
        <v>28.574479169302453</v>
      </c>
      <c r="M146" s="227">
        <f>'Inputs and Drivers'!M87</f>
        <v>28.287239584651225</v>
      </c>
      <c r="N146" s="227">
        <f>'Inputs and Drivers'!N87</f>
        <v>28</v>
      </c>
      <c r="O146" s="227">
        <f>'Inputs and Drivers'!O87</f>
        <v>28</v>
      </c>
      <c r="P146" s="227">
        <f>'Inputs and Drivers'!P87</f>
        <v>28</v>
      </c>
      <c r="Q146" s="227">
        <f>'Inputs and Drivers'!Q87</f>
        <v>28</v>
      </c>
      <c r="R146" s="343">
        <f>'Inputs and Drivers'!R87</f>
        <v>28</v>
      </c>
      <c r="S146" s="226">
        <f t="shared" si="123"/>
        <v>28.574479169302453</v>
      </c>
      <c r="T146" s="344">
        <f t="shared" si="121"/>
        <v>28.574479169302453</v>
      </c>
    </row>
    <row r="147" spans="2:20" x14ac:dyDescent="0.3">
      <c r="B147" s="258" t="s">
        <v>157</v>
      </c>
      <c r="C147" s="258" t="s">
        <v>153</v>
      </c>
      <c r="H147" s="337">
        <f>H156/H141</f>
        <v>3.1047865459249681E-2</v>
      </c>
      <c r="I147" s="338">
        <f t="shared" ref="I147:J147" si="125">I156/I141</f>
        <v>3.5055350553505539E-2</v>
      </c>
      <c r="J147" s="338">
        <f t="shared" si="125"/>
        <v>3.323135351830362E-2</v>
      </c>
      <c r="K147" s="339">
        <f>'Inputs and Drivers'!K88</f>
        <v>3.3111523177019618E-2</v>
      </c>
      <c r="L147" s="339">
        <f>'Inputs and Drivers'!L88</f>
        <v>3.3111523177019618E-2</v>
      </c>
      <c r="M147" s="339">
        <f>'Inputs and Drivers'!M88</f>
        <v>3.3111523177019618E-2</v>
      </c>
      <c r="N147" s="339">
        <f>'Inputs and Drivers'!N88</f>
        <v>3.3111523177019618E-2</v>
      </c>
      <c r="O147" s="339">
        <f>'Inputs and Drivers'!O88</f>
        <v>3.3111523177019618E-2</v>
      </c>
      <c r="P147" s="339">
        <f>'Inputs and Drivers'!P88</f>
        <v>3.3111523177019618E-2</v>
      </c>
      <c r="Q147" s="339">
        <f>'Inputs and Drivers'!Q88</f>
        <v>3.3111523177019618E-2</v>
      </c>
      <c r="R147" s="340">
        <f>'Inputs and Drivers'!R88</f>
        <v>3.3111523177019618E-2</v>
      </c>
      <c r="S147" s="298">
        <f t="shared" si="123"/>
        <v>3.3111523177019618E-2</v>
      </c>
      <c r="T147" s="341">
        <f t="shared" si="121"/>
        <v>3.3111523177019618E-2</v>
      </c>
    </row>
    <row r="148" spans="2:20" x14ac:dyDescent="0.3">
      <c r="B148" s="330" t="s">
        <v>158</v>
      </c>
      <c r="C148" s="258" t="s">
        <v>155</v>
      </c>
      <c r="F148" s="304"/>
      <c r="H148" s="345">
        <f>H157/H139</f>
        <v>4.2588381228033913E-2</v>
      </c>
      <c r="I148" s="346">
        <f t="shared" ref="I148:J148" si="126">I157/I139</f>
        <v>3.5619351408825099E-2</v>
      </c>
      <c r="J148" s="346">
        <f t="shared" si="126"/>
        <v>3.2118451025056949E-2</v>
      </c>
      <c r="K148" s="347">
        <f>'Inputs and Drivers'!K89</f>
        <v>3.3868901216941028E-2</v>
      </c>
      <c r="L148" s="347">
        <f>'Inputs and Drivers'!L89</f>
        <v>3.3868901216941028E-2</v>
      </c>
      <c r="M148" s="347">
        <f>'Inputs and Drivers'!M89</f>
        <v>3.3868901216941028E-2</v>
      </c>
      <c r="N148" s="347">
        <f>'Inputs and Drivers'!N89</f>
        <v>3.3868901216941028E-2</v>
      </c>
      <c r="O148" s="347">
        <f>'Inputs and Drivers'!O89</f>
        <v>3.3868901216941028E-2</v>
      </c>
      <c r="P148" s="347">
        <f>'Inputs and Drivers'!P89</f>
        <v>3.3868901216941028E-2</v>
      </c>
      <c r="Q148" s="347">
        <f>'Inputs and Drivers'!Q89</f>
        <v>3.3868901216941028E-2</v>
      </c>
      <c r="R148" s="348">
        <f>'Inputs and Drivers'!R89</f>
        <v>3.3868901216941028E-2</v>
      </c>
      <c r="S148" s="349">
        <f t="shared" si="123"/>
        <v>3.3868901216941028E-2</v>
      </c>
      <c r="T148" s="350">
        <f t="shared" si="121"/>
        <v>3.3868901216941028E-2</v>
      </c>
    </row>
    <row r="150" spans="2:20" x14ac:dyDescent="0.3">
      <c r="B150" s="291" t="s">
        <v>252</v>
      </c>
    </row>
    <row r="151" spans="2:20" x14ac:dyDescent="0.3"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</row>
    <row r="152" spans="2:20" x14ac:dyDescent="0.3">
      <c r="B152" s="258" t="s">
        <v>150</v>
      </c>
      <c r="H152" s="285">
        <v>180.1</v>
      </c>
      <c r="I152" s="285">
        <v>228.8</v>
      </c>
      <c r="J152" s="285">
        <v>264.8</v>
      </c>
      <c r="K152" s="286">
        <f>K143*K140/K138</f>
        <v>293.04310263261982</v>
      </c>
      <c r="L152" s="286">
        <f t="shared" ref="L152:R152" si="127">L143*L140/L138</f>
        <v>329.85700717554903</v>
      </c>
      <c r="M152" s="286">
        <f t="shared" si="127"/>
        <v>368.973167632463</v>
      </c>
      <c r="N152" s="286">
        <f t="shared" si="127"/>
        <v>410.15579643270365</v>
      </c>
      <c r="O152" s="286">
        <f t="shared" si="127"/>
        <v>453.10080554032066</v>
      </c>
      <c r="P152" s="286">
        <f t="shared" si="127"/>
        <v>497.43615278473891</v>
      </c>
      <c r="Q152" s="286">
        <f t="shared" si="127"/>
        <v>542.72456731291527</v>
      </c>
      <c r="R152" s="286">
        <f t="shared" si="127"/>
        <v>588.46881862873613</v>
      </c>
      <c r="S152" s="286">
        <f>(L152-K152)*S$6+K152</f>
        <v>302.24657876835215</v>
      </c>
      <c r="T152" s="286">
        <f>L152</f>
        <v>329.85700717554903</v>
      </c>
    </row>
    <row r="153" spans="2:20" x14ac:dyDescent="0.3">
      <c r="B153" s="258" t="s">
        <v>152</v>
      </c>
      <c r="H153" s="285">
        <v>98</v>
      </c>
      <c r="I153" s="285">
        <v>126.7</v>
      </c>
      <c r="J153" s="285">
        <v>137.5</v>
      </c>
      <c r="K153" s="226">
        <f t="shared" ref="K153:R153" si="128">K144*K141*-1</f>
        <v>-137.51933220281532</v>
      </c>
      <c r="L153" s="226">
        <f t="shared" si="128"/>
        <v>-156.00560437528765</v>
      </c>
      <c r="M153" s="226">
        <f t="shared" si="128"/>
        <v>-175.8835333575521</v>
      </c>
      <c r="N153" s="226">
        <f t="shared" si="128"/>
        <v>-197.06491801589323</v>
      </c>
      <c r="O153" s="226">
        <f t="shared" si="128"/>
        <v>-213.66465386407103</v>
      </c>
      <c r="P153" s="226">
        <f t="shared" si="128"/>
        <v>-230.07648945622728</v>
      </c>
      <c r="Q153" s="226">
        <f t="shared" si="128"/>
        <v>-246.04113620753316</v>
      </c>
      <c r="R153" s="226">
        <f t="shared" si="128"/>
        <v>-261.28710837792204</v>
      </c>
      <c r="S153" s="226">
        <f>(L153-K153)*S$6+K153</f>
        <v>-142.14090024593341</v>
      </c>
      <c r="T153" s="226">
        <f>L153</f>
        <v>-156.00560437528765</v>
      </c>
    </row>
    <row r="154" spans="2:20" x14ac:dyDescent="0.3">
      <c r="B154" s="258" t="s">
        <v>154</v>
      </c>
      <c r="H154" s="285"/>
      <c r="I154" s="285">
        <v>192.1</v>
      </c>
      <c r="J154" s="285">
        <v>231.8</v>
      </c>
      <c r="K154" s="226">
        <f>K145*K57</f>
        <v>259.79570647545171</v>
      </c>
      <c r="L154" s="226">
        <f t="shared" ref="L154:R154" si="129">L145*L57</f>
        <v>297.27033178666312</v>
      </c>
      <c r="M154" s="226">
        <f t="shared" si="129"/>
        <v>333.81383138014741</v>
      </c>
      <c r="N154" s="226">
        <f t="shared" si="129"/>
        <v>374.81277615716959</v>
      </c>
      <c r="O154" s="226">
        <f t="shared" si="129"/>
        <v>416.87362534917122</v>
      </c>
      <c r="P154" s="226">
        <f t="shared" si="129"/>
        <v>461.41962891151502</v>
      </c>
      <c r="Q154" s="226">
        <f t="shared" si="129"/>
        <v>507.06182968423633</v>
      </c>
      <c r="R154" s="226">
        <f t="shared" si="129"/>
        <v>553.8540374857813</v>
      </c>
      <c r="S154" s="226">
        <f>(L154-K154)*S$6+K154</f>
        <v>269.16436280325456</v>
      </c>
      <c r="T154" s="226">
        <f>L154</f>
        <v>297.27033178666312</v>
      </c>
    </row>
    <row r="155" spans="2:20" x14ac:dyDescent="0.3">
      <c r="B155" s="258" t="s">
        <v>156</v>
      </c>
      <c r="H155" s="285">
        <v>54.3</v>
      </c>
      <c r="I155" s="285">
        <v>66.7</v>
      </c>
      <c r="J155" s="285">
        <v>77</v>
      </c>
      <c r="K155" s="226">
        <f t="shared" ref="K155:R155" si="130">K146*K141/K138*-1</f>
        <v>-78.055187392080356</v>
      </c>
      <c r="L155" s="226">
        <f t="shared" si="130"/>
        <v>-87.666637469513518</v>
      </c>
      <c r="M155" s="226">
        <f t="shared" si="130"/>
        <v>-97.843409086421744</v>
      </c>
      <c r="N155" s="226">
        <f t="shared" si="130"/>
        <v>-108.51335070264422</v>
      </c>
      <c r="O155" s="226">
        <f t="shared" si="130"/>
        <v>-117.65395764476517</v>
      </c>
      <c r="P155" s="226">
        <f t="shared" si="130"/>
        <v>-126.69109773655038</v>
      </c>
      <c r="Q155" s="226">
        <f t="shared" si="130"/>
        <v>-135.48199430611922</v>
      </c>
      <c r="R155" s="226">
        <f t="shared" si="130"/>
        <v>-143.87715434568921</v>
      </c>
      <c r="S155" s="226">
        <f t="shared" ref="S155:S157" si="131">(L155-K155)*S$6+K155</f>
        <v>-80.45804991143865</v>
      </c>
      <c r="T155" s="226">
        <f t="shared" ref="T155:T157" si="132">L155</f>
        <v>-87.666637469513518</v>
      </c>
    </row>
    <row r="156" spans="2:20" x14ac:dyDescent="0.3">
      <c r="B156" s="258" t="s">
        <v>157</v>
      </c>
      <c r="H156" s="285">
        <v>24</v>
      </c>
      <c r="I156" s="285">
        <v>30.4</v>
      </c>
      <c r="J156" s="285">
        <v>31.5</v>
      </c>
      <c r="K156" s="226">
        <f t="shared" ref="K156:R156" si="133">K147*K141*-1</f>
        <v>-32.685234427138283</v>
      </c>
      <c r="L156" s="226">
        <f t="shared" si="133"/>
        <v>-37.079003142870675</v>
      </c>
      <c r="M156" s="226">
        <f t="shared" si="133"/>
        <v>-41.803537201493882</v>
      </c>
      <c r="N156" s="226">
        <f t="shared" si="133"/>
        <v>-46.837873188729702</v>
      </c>
      <c r="O156" s="226">
        <f t="shared" si="133"/>
        <v>-50.783254895689112</v>
      </c>
      <c r="P156" s="226">
        <f t="shared" si="133"/>
        <v>-54.683976962301195</v>
      </c>
      <c r="Q156" s="226">
        <f t="shared" si="133"/>
        <v>-58.478412357343068</v>
      </c>
      <c r="R156" s="226">
        <f t="shared" si="133"/>
        <v>-62.102035061704818</v>
      </c>
      <c r="S156" s="226">
        <f t="shared" si="131"/>
        <v>-33.783676606071381</v>
      </c>
      <c r="T156" s="226">
        <f t="shared" si="132"/>
        <v>-37.079003142870675</v>
      </c>
    </row>
    <row r="157" spans="2:20" x14ac:dyDescent="0.3">
      <c r="B157" s="258" t="s">
        <v>253</v>
      </c>
      <c r="H157" s="285">
        <v>41.2</v>
      </c>
      <c r="I157" s="285">
        <v>40.200000000000003</v>
      </c>
      <c r="J157" s="285">
        <v>42.3</v>
      </c>
      <c r="K157" s="226">
        <f t="shared" ref="K157:R157" si="134">K148*K139</f>
        <v>50.829371516033071</v>
      </c>
      <c r="L157" s="226">
        <f t="shared" si="134"/>
        <v>57.678601162498161</v>
      </c>
      <c r="M157" s="226">
        <f t="shared" si="134"/>
        <v>65.038949415381381</v>
      </c>
      <c r="N157" s="226">
        <f t="shared" si="134"/>
        <v>72.875176231827282</v>
      </c>
      <c r="O157" s="226">
        <f t="shared" si="134"/>
        <v>81.137457541650576</v>
      </c>
      <c r="P157" s="226">
        <f t="shared" si="134"/>
        <v>89.760881847695018</v>
      </c>
      <c r="Q157" s="226">
        <f t="shared" si="134"/>
        <v>98.665407720938987</v>
      </c>
      <c r="R157" s="226">
        <f t="shared" si="134"/>
        <v>107.75634266544672</v>
      </c>
      <c r="S157" s="226">
        <f t="shared" si="131"/>
        <v>52.541678927649343</v>
      </c>
      <c r="T157" s="226">
        <f t="shared" si="132"/>
        <v>57.678601162498161</v>
      </c>
    </row>
    <row r="158" spans="2:20" x14ac:dyDescent="0.3">
      <c r="B158" s="291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</row>
    <row r="159" spans="2:20" x14ac:dyDescent="0.3">
      <c r="B159" s="258" t="s">
        <v>254</v>
      </c>
      <c r="H159" s="226">
        <f>SUM(H152:H154)</f>
        <v>278.10000000000002</v>
      </c>
      <c r="I159" s="226">
        <f t="shared" ref="I159:J159" si="135">SUM(I152:I154)</f>
        <v>547.6</v>
      </c>
      <c r="J159" s="226">
        <f t="shared" si="135"/>
        <v>634.1</v>
      </c>
      <c r="K159" s="226">
        <f>SUM(K152:K154)</f>
        <v>415.31947690525624</v>
      </c>
      <c r="L159" s="226">
        <f t="shared" ref="L159:R159" si="136">SUM(L152:L154)</f>
        <v>471.1217345869245</v>
      </c>
      <c r="M159" s="226">
        <f t="shared" si="136"/>
        <v>526.90346565505831</v>
      </c>
      <c r="N159" s="226">
        <f t="shared" si="136"/>
        <v>587.90365457398002</v>
      </c>
      <c r="O159" s="226">
        <f t="shared" si="136"/>
        <v>656.30977702542089</v>
      </c>
      <c r="P159" s="226">
        <f t="shared" si="136"/>
        <v>728.77929224002662</v>
      </c>
      <c r="Q159" s="226">
        <f t="shared" si="136"/>
        <v>803.74526078961844</v>
      </c>
      <c r="R159" s="226">
        <f t="shared" si="136"/>
        <v>881.03574773659534</v>
      </c>
      <c r="S159" s="226">
        <f t="shared" ref="S159:T159" si="137">SUM(S152:S154)</f>
        <v>429.27004132567333</v>
      </c>
      <c r="T159" s="226">
        <f t="shared" si="137"/>
        <v>471.1217345869245</v>
      </c>
    </row>
    <row r="160" spans="2:20" x14ac:dyDescent="0.3">
      <c r="B160" s="258" t="s">
        <v>255</v>
      </c>
      <c r="H160" s="226">
        <f>SUM(H155:H157)</f>
        <v>119.5</v>
      </c>
      <c r="I160" s="226">
        <f t="shared" ref="I160:R160" si="138">SUM(I155:I157)</f>
        <v>137.30000000000001</v>
      </c>
      <c r="J160" s="226">
        <f t="shared" si="138"/>
        <v>150.80000000000001</v>
      </c>
      <c r="K160" s="226">
        <f t="shared" si="138"/>
        <v>-59.911050303185569</v>
      </c>
      <c r="L160" s="226">
        <f t="shared" si="138"/>
        <v>-67.067039449886039</v>
      </c>
      <c r="M160" s="226">
        <f t="shared" si="138"/>
        <v>-74.607996872534244</v>
      </c>
      <c r="N160" s="226">
        <f t="shared" si="138"/>
        <v>-82.476047659546651</v>
      </c>
      <c r="O160" s="226">
        <f t="shared" si="138"/>
        <v>-87.299754998803706</v>
      </c>
      <c r="P160" s="226">
        <f t="shared" si="138"/>
        <v>-91.614192851156545</v>
      </c>
      <c r="Q160" s="226">
        <f t="shared" si="138"/>
        <v>-95.294998942523307</v>
      </c>
      <c r="R160" s="226">
        <f t="shared" si="138"/>
        <v>-98.222846741947293</v>
      </c>
      <c r="S160" s="226">
        <f t="shared" ref="S160:T160" si="139">SUM(S155:S157)</f>
        <v>-61.700047589860688</v>
      </c>
      <c r="T160" s="226">
        <f t="shared" si="139"/>
        <v>-67.067039449886039</v>
      </c>
    </row>
    <row r="161" spans="1:20" x14ac:dyDescent="0.3">
      <c r="B161" s="258" t="s">
        <v>256</v>
      </c>
      <c r="H161" s="224">
        <f>H159-H160</f>
        <v>158.60000000000002</v>
      </c>
      <c r="I161" s="224">
        <f t="shared" ref="I161:R161" si="140">I159-I160</f>
        <v>410.3</v>
      </c>
      <c r="J161" s="224">
        <f t="shared" si="140"/>
        <v>483.3</v>
      </c>
      <c r="K161" s="224">
        <f t="shared" si="140"/>
        <v>475.2305272084418</v>
      </c>
      <c r="L161" s="224">
        <f t="shared" si="140"/>
        <v>538.18877403681051</v>
      </c>
      <c r="M161" s="224">
        <f t="shared" si="140"/>
        <v>601.51146252759258</v>
      </c>
      <c r="N161" s="224">
        <f t="shared" si="140"/>
        <v>670.3797022335267</v>
      </c>
      <c r="O161" s="224">
        <f t="shared" si="140"/>
        <v>743.60953202422456</v>
      </c>
      <c r="P161" s="224">
        <f t="shared" si="140"/>
        <v>820.39348509118315</v>
      </c>
      <c r="Q161" s="224">
        <f t="shared" si="140"/>
        <v>899.04025973214175</v>
      </c>
      <c r="R161" s="224">
        <f t="shared" si="140"/>
        <v>979.25859447854259</v>
      </c>
      <c r="S161" s="224">
        <f t="shared" ref="S161:T161" si="141">S159-S160</f>
        <v>490.97008891553401</v>
      </c>
      <c r="T161" s="224">
        <f t="shared" si="141"/>
        <v>538.18877403681051</v>
      </c>
    </row>
    <row r="162" spans="1:20" x14ac:dyDescent="0.3">
      <c r="H162" s="226"/>
    </row>
    <row r="163" spans="1:20" ht="15" thickBot="1" x14ac:dyDescent="0.35">
      <c r="B163" s="330" t="s">
        <v>223</v>
      </c>
      <c r="I163" s="351">
        <f t="shared" ref="I163:R163" si="142">H161-I161</f>
        <v>-251.7</v>
      </c>
      <c r="J163" s="351">
        <f t="shared" si="142"/>
        <v>-73</v>
      </c>
      <c r="K163" s="351">
        <f t="shared" si="142"/>
        <v>8.0694727915582121</v>
      </c>
      <c r="L163" s="351">
        <f t="shared" si="142"/>
        <v>-62.958246828368715</v>
      </c>
      <c r="M163" s="351">
        <f t="shared" si="142"/>
        <v>-63.32268849078207</v>
      </c>
      <c r="N163" s="351">
        <f t="shared" si="142"/>
        <v>-68.868239705934116</v>
      </c>
      <c r="O163" s="351">
        <f t="shared" si="142"/>
        <v>-73.229829790697863</v>
      </c>
      <c r="P163" s="351">
        <f t="shared" si="142"/>
        <v>-76.783953066958588</v>
      </c>
      <c r="Q163" s="351">
        <f t="shared" si="142"/>
        <v>-78.646774640958597</v>
      </c>
      <c r="R163" s="351">
        <f t="shared" si="142"/>
        <v>-80.218334746400842</v>
      </c>
      <c r="S163" s="351">
        <f>K161-S161</f>
        <v>-15.739561707092207</v>
      </c>
      <c r="T163" s="351">
        <f>S161-T161</f>
        <v>-47.218685121276508</v>
      </c>
    </row>
    <row r="165" spans="1:20" ht="18" x14ac:dyDescent="0.35">
      <c r="A165" s="279" t="s">
        <v>120</v>
      </c>
      <c r="B165" s="326" t="s">
        <v>257</v>
      </c>
      <c r="C165" s="282"/>
      <c r="D165" s="282"/>
      <c r="E165" s="282"/>
      <c r="F165" s="282"/>
      <c r="G165" s="282"/>
      <c r="H165" s="282"/>
      <c r="I165" s="282"/>
      <c r="J165" s="282"/>
      <c r="K165" s="282"/>
      <c r="L165" s="282"/>
      <c r="M165" s="282"/>
      <c r="N165" s="282"/>
      <c r="O165" s="282"/>
      <c r="P165" s="282"/>
      <c r="Q165" s="282"/>
      <c r="R165" s="282"/>
      <c r="S165" s="282"/>
      <c r="T165" s="282"/>
    </row>
    <row r="167" spans="1:20" ht="15" thickBot="1" x14ac:dyDescent="0.35">
      <c r="B167" s="283" t="s">
        <v>2</v>
      </c>
      <c r="K167" s="43">
        <v>2025</v>
      </c>
      <c r="L167" s="43">
        <f t="shared" ref="L167" si="143">K167+1</f>
        <v>2026</v>
      </c>
      <c r="M167" s="43">
        <f t="shared" ref="M167" si="144">L167+1</f>
        <v>2027</v>
      </c>
      <c r="N167" s="43">
        <f t="shared" ref="N167" si="145">M167+1</f>
        <v>2028</v>
      </c>
      <c r="O167" s="43">
        <f t="shared" ref="O167" si="146">N167+1</f>
        <v>2029</v>
      </c>
      <c r="P167" s="43">
        <f t="shared" ref="P167" si="147">O167+1</f>
        <v>2030</v>
      </c>
      <c r="Q167" s="43">
        <f t="shared" ref="Q167" si="148">P167+1</f>
        <v>2031</v>
      </c>
      <c r="R167" s="43">
        <f>Q167+1</f>
        <v>2032</v>
      </c>
      <c r="S167" s="43">
        <f>S10</f>
        <v>2026</v>
      </c>
      <c r="T167" s="43">
        <f t="shared" ref="T167" si="149">T10</f>
        <v>2026</v>
      </c>
    </row>
    <row r="169" spans="1:20" x14ac:dyDescent="0.3">
      <c r="B169" s="352" t="s">
        <v>258</v>
      </c>
    </row>
    <row r="170" spans="1:20" x14ac:dyDescent="0.3">
      <c r="B170" s="353" t="s">
        <v>259</v>
      </c>
      <c r="F170" s="354" t="s">
        <v>260</v>
      </c>
      <c r="G170" s="355"/>
      <c r="H170" s="356">
        <f>K170</f>
        <v>1209.9000000000001</v>
      </c>
      <c r="I170" s="226"/>
      <c r="J170" s="226"/>
      <c r="K170" s="227">
        <f>'Balance Sheet (Q)'!C44+'Balance Sheet (Q)'!C39</f>
        <v>1209.9000000000001</v>
      </c>
      <c r="L170" s="226">
        <f>K172</f>
        <v>1206.5666666666668</v>
      </c>
      <c r="M170" s="285">
        <v>0</v>
      </c>
      <c r="N170" s="285">
        <v>0</v>
      </c>
      <c r="O170" s="285">
        <v>0</v>
      </c>
      <c r="P170" s="285">
        <v>0</v>
      </c>
      <c r="Q170" s="285">
        <v>0</v>
      </c>
      <c r="R170" s="285">
        <v>0</v>
      </c>
      <c r="S170" s="226">
        <f>K172</f>
        <v>1206.5666666666668</v>
      </c>
      <c r="T170" s="226">
        <f>S172</f>
        <v>1206.5666666666668</v>
      </c>
    </row>
    <row r="171" spans="1:20" x14ac:dyDescent="0.3">
      <c r="B171" s="353" t="s">
        <v>261</v>
      </c>
      <c r="F171" s="357" t="s">
        <v>262</v>
      </c>
      <c r="H171" s="358">
        <f>'Balance Sheet (Q)'!F39+'Balance Sheet (Q)'!F44</f>
        <v>1207.4000000000001</v>
      </c>
      <c r="I171" s="226"/>
      <c r="J171" s="226"/>
      <c r="K171" s="226">
        <f>H173</f>
        <v>-3.333333333333333</v>
      </c>
      <c r="L171" s="226">
        <f>SUM(S171:T171)</f>
        <v>-1206.5666666666668</v>
      </c>
      <c r="M171" s="285">
        <v>0</v>
      </c>
      <c r="N171" s="285">
        <v>0</v>
      </c>
      <c r="O171" s="285">
        <v>0</v>
      </c>
      <c r="P171" s="285">
        <v>0</v>
      </c>
      <c r="Q171" s="285">
        <v>0</v>
      </c>
      <c r="R171" s="285">
        <v>0</v>
      </c>
      <c r="S171" s="285">
        <v>0</v>
      </c>
      <c r="T171" s="286">
        <f>-T170</f>
        <v>-1206.5666666666668</v>
      </c>
    </row>
    <row r="172" spans="1:20" x14ac:dyDescent="0.3">
      <c r="B172" s="353" t="s">
        <v>263</v>
      </c>
      <c r="F172" s="359" t="s">
        <v>261</v>
      </c>
      <c r="H172" s="360">
        <f>H171-H170</f>
        <v>-2.5</v>
      </c>
      <c r="I172" s="226"/>
      <c r="J172" s="226"/>
      <c r="K172" s="226">
        <f>SUM(K170:K171)</f>
        <v>1206.5666666666668</v>
      </c>
      <c r="L172" s="226">
        <f>SUM(L170:L171)</f>
        <v>0</v>
      </c>
      <c r="M172" s="285">
        <v>0</v>
      </c>
      <c r="N172" s="285">
        <v>0</v>
      </c>
      <c r="O172" s="285">
        <v>0</v>
      </c>
      <c r="P172" s="285">
        <v>0</v>
      </c>
      <c r="Q172" s="285">
        <v>0</v>
      </c>
      <c r="R172" s="285">
        <v>0</v>
      </c>
      <c r="S172" s="286">
        <f>SUM(S170:S171)</f>
        <v>1206.5666666666668</v>
      </c>
      <c r="T172" s="226">
        <f>SUM(T170:T171)</f>
        <v>0</v>
      </c>
    </row>
    <row r="173" spans="1:20" x14ac:dyDescent="0.3">
      <c r="B173" s="353"/>
      <c r="F173" s="361" t="s">
        <v>264</v>
      </c>
      <c r="G173" s="362"/>
      <c r="H173" s="363">
        <f>4/3*H172</f>
        <v>-3.333333333333333</v>
      </c>
    </row>
    <row r="174" spans="1:20" x14ac:dyDescent="0.3">
      <c r="B174" s="353" t="s">
        <v>265</v>
      </c>
      <c r="K174" s="364">
        <v>0.04</v>
      </c>
      <c r="L174" s="328">
        <f>K174</f>
        <v>0.04</v>
      </c>
      <c r="M174" s="285">
        <v>0</v>
      </c>
      <c r="N174" s="285">
        <v>0</v>
      </c>
      <c r="O174" s="285">
        <v>0</v>
      </c>
      <c r="P174" s="285">
        <v>0</v>
      </c>
      <c r="Q174" s="285">
        <v>0</v>
      </c>
      <c r="R174" s="285">
        <v>0</v>
      </c>
      <c r="S174" s="328">
        <f>$L174</f>
        <v>0.04</v>
      </c>
      <c r="T174" s="328">
        <f>$L174</f>
        <v>0.04</v>
      </c>
    </row>
    <row r="175" spans="1:20" x14ac:dyDescent="0.3">
      <c r="B175" s="353"/>
    </row>
    <row r="176" spans="1:20" x14ac:dyDescent="0.3">
      <c r="B176" s="353" t="s">
        <v>266</v>
      </c>
      <c r="K176" s="365">
        <f>AVERAGE(K170,K172)*K174*K6</f>
        <v>48.329333333333345</v>
      </c>
      <c r="L176" s="365">
        <f>SUM(S176:T176)</f>
        <v>12.065666666666669</v>
      </c>
      <c r="M176" s="365">
        <f t="shared" ref="M176:R176" si="150">AVERAGE(M170,M172)*M174*M6</f>
        <v>0</v>
      </c>
      <c r="N176" s="365">
        <f t="shared" si="150"/>
        <v>0</v>
      </c>
      <c r="O176" s="365">
        <f t="shared" si="150"/>
        <v>0</v>
      </c>
      <c r="P176" s="365">
        <f t="shared" si="150"/>
        <v>0</v>
      </c>
      <c r="Q176" s="365">
        <f t="shared" si="150"/>
        <v>0</v>
      </c>
      <c r="R176" s="365">
        <f t="shared" si="150"/>
        <v>0</v>
      </c>
      <c r="S176" s="365">
        <f>S170*S174*S6</f>
        <v>12.065666666666669</v>
      </c>
      <c r="T176" s="365">
        <f>T172*T174*T6</f>
        <v>0</v>
      </c>
    </row>
    <row r="178" spans="1:20" ht="18" x14ac:dyDescent="0.35">
      <c r="A178" s="279" t="s">
        <v>120</v>
      </c>
      <c r="B178" s="326" t="s">
        <v>267</v>
      </c>
      <c r="C178" s="282"/>
      <c r="D178" s="282"/>
      <c r="E178" s="282"/>
      <c r="F178" s="282"/>
      <c r="G178" s="282"/>
      <c r="H178" s="282"/>
      <c r="I178" s="282"/>
      <c r="J178" s="282"/>
      <c r="K178" s="282"/>
      <c r="L178" s="282"/>
      <c r="M178" s="282"/>
      <c r="N178" s="282"/>
      <c r="O178" s="282"/>
      <c r="P178" s="282"/>
      <c r="Q178" s="282"/>
      <c r="R178" s="282"/>
      <c r="S178" s="282"/>
      <c r="T178" s="282"/>
    </row>
    <row r="180" spans="1:20" ht="15" thickBot="1" x14ac:dyDescent="0.35">
      <c r="B180" s="283" t="s">
        <v>2</v>
      </c>
      <c r="K180" s="43">
        <v>2025</v>
      </c>
      <c r="L180" s="43">
        <f t="shared" ref="L180" si="151">K180+1</f>
        <v>2026</v>
      </c>
      <c r="M180" s="43">
        <f t="shared" ref="M180" si="152">L180+1</f>
        <v>2027</v>
      </c>
      <c r="N180" s="43">
        <f t="shared" ref="N180" si="153">M180+1</f>
        <v>2028</v>
      </c>
      <c r="O180" s="43">
        <f t="shared" ref="O180" si="154">N180+1</f>
        <v>2029</v>
      </c>
      <c r="P180" s="43">
        <f t="shared" ref="P180" si="155">O180+1</f>
        <v>2030</v>
      </c>
      <c r="Q180" s="43">
        <f t="shared" ref="Q180" si="156">P180+1</f>
        <v>2031</v>
      </c>
      <c r="R180" s="43">
        <f>Q180+1</f>
        <v>2032</v>
      </c>
      <c r="S180" s="43">
        <f>S10</f>
        <v>2026</v>
      </c>
      <c r="T180" s="43">
        <f>T10</f>
        <v>2026</v>
      </c>
    </row>
    <row r="182" spans="1:20" x14ac:dyDescent="0.3">
      <c r="B182" s="291" t="s">
        <v>9</v>
      </c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</row>
    <row r="183" spans="1:20" x14ac:dyDescent="0.3">
      <c r="B183" s="258" t="s">
        <v>268</v>
      </c>
      <c r="K183" s="226"/>
      <c r="L183" s="226">
        <f ca="1">T183</f>
        <v>1133.0100896503679</v>
      </c>
      <c r="M183" s="226">
        <f t="shared" ref="M183:R183" ca="1" si="157">M117</f>
        <v>150.00000000000091</v>
      </c>
      <c r="N183" s="226">
        <f t="shared" ca="1" si="157"/>
        <v>150</v>
      </c>
      <c r="O183" s="226">
        <f t="shared" ca="1" si="157"/>
        <v>150</v>
      </c>
      <c r="P183" s="226">
        <f t="shared" ca="1" si="157"/>
        <v>150</v>
      </c>
      <c r="Q183" s="226">
        <f t="shared" ca="1" si="157"/>
        <v>150</v>
      </c>
      <c r="R183" s="226">
        <f t="shared" ca="1" si="157"/>
        <v>150</v>
      </c>
      <c r="S183" s="226">
        <f ca="1">S117</f>
        <v>1015.6648720272212</v>
      </c>
      <c r="T183" s="226">
        <f ca="1">T117</f>
        <v>1133.0100896503679</v>
      </c>
    </row>
    <row r="184" spans="1:20" x14ac:dyDescent="0.3">
      <c r="B184" s="258" t="s">
        <v>222</v>
      </c>
      <c r="K184" s="226"/>
      <c r="L184" s="226">
        <f t="shared" ref="L184:L188" ca="1" si="158">T184</f>
        <v>266.38345096327237</v>
      </c>
      <c r="M184" s="226">
        <f ca="1">M98</f>
        <v>550.54796671943859</v>
      </c>
      <c r="N184" s="226">
        <f t="shared" ref="N184:S184" ca="1" si="159">N98</f>
        <v>660.31094275279975</v>
      </c>
      <c r="O184" s="226">
        <f t="shared" ca="1" si="159"/>
        <v>789.5555010456651</v>
      </c>
      <c r="P184" s="226">
        <f t="shared" ca="1" si="159"/>
        <v>928.79094621608829</v>
      </c>
      <c r="Q184" s="226">
        <f t="shared" ca="1" si="159"/>
        <v>1077.9510080975983</v>
      </c>
      <c r="R184" s="226">
        <f t="shared" ca="1" si="159"/>
        <v>1231.7883295179017</v>
      </c>
      <c r="S184" s="226">
        <f t="shared" ca="1" si="159"/>
        <v>159.54107984114762</v>
      </c>
      <c r="T184" s="226">
        <f ca="1">T98</f>
        <v>266.38345096327237</v>
      </c>
    </row>
    <row r="185" spans="1:20" x14ac:dyDescent="0.3">
      <c r="B185" s="258" t="s">
        <v>227</v>
      </c>
      <c r="K185" s="226"/>
      <c r="L185" s="226">
        <f t="shared" si="158"/>
        <v>-126.58758665400288</v>
      </c>
      <c r="M185" s="226">
        <f>M103</f>
        <v>-205.57902215350964</v>
      </c>
      <c r="N185" s="226">
        <f t="shared" ref="N185:S185" si="160">N103</f>
        <v>-247.44367149614487</v>
      </c>
      <c r="O185" s="226">
        <f t="shared" si="160"/>
        <v>-255.73382310491976</v>
      </c>
      <c r="P185" s="226">
        <f t="shared" si="160"/>
        <v>-261.04912011658405</v>
      </c>
      <c r="Q185" s="226">
        <f t="shared" si="160"/>
        <v>-262.91236877683934</v>
      </c>
      <c r="R185" s="226">
        <f t="shared" si="160"/>
        <v>-260.88889161089486</v>
      </c>
      <c r="S185" s="226">
        <f t="shared" si="160"/>
        <v>-42.195862218000961</v>
      </c>
      <c r="T185" s="226">
        <f>T103</f>
        <v>-126.58758665400288</v>
      </c>
    </row>
    <row r="186" spans="1:20" x14ac:dyDescent="0.3">
      <c r="B186" s="258" t="s">
        <v>269</v>
      </c>
      <c r="K186" s="226"/>
      <c r="L186" s="226">
        <f t="shared" si="158"/>
        <v>-412.5</v>
      </c>
      <c r="M186" s="226">
        <f t="shared" ref="M186:S186" si="161">M220</f>
        <v>-550</v>
      </c>
      <c r="N186" s="226">
        <f t="shared" si="161"/>
        <v>-550</v>
      </c>
      <c r="O186" s="226">
        <f t="shared" si="161"/>
        <v>-550</v>
      </c>
      <c r="P186" s="226">
        <f t="shared" si="161"/>
        <v>-550</v>
      </c>
      <c r="Q186" s="226">
        <f t="shared" si="161"/>
        <v>-550</v>
      </c>
      <c r="R186" s="226">
        <f t="shared" si="161"/>
        <v>-550</v>
      </c>
      <c r="S186" s="226">
        <f t="shared" si="161"/>
        <v>0</v>
      </c>
      <c r="T186" s="226">
        <f>T220</f>
        <v>-412.5</v>
      </c>
    </row>
    <row r="187" spans="1:20" x14ac:dyDescent="0.3">
      <c r="B187" s="258" t="s">
        <v>104</v>
      </c>
      <c r="K187" s="226"/>
      <c r="L187" s="227">
        <f>-'Transaction Details'!$H$28</f>
        <v>-150</v>
      </c>
      <c r="M187" s="227">
        <f>-'Transaction Details'!$H$28</f>
        <v>-150</v>
      </c>
      <c r="N187" s="227">
        <f>-'Transaction Details'!$H$28</f>
        <v>-150</v>
      </c>
      <c r="O187" s="227">
        <f>-'Transaction Details'!$H$28</f>
        <v>-150</v>
      </c>
      <c r="P187" s="227">
        <f>-'Transaction Details'!$H$28</f>
        <v>-150</v>
      </c>
      <c r="Q187" s="227">
        <f>-'Transaction Details'!$H$28</f>
        <v>-150</v>
      </c>
      <c r="R187" s="227">
        <f>-'Transaction Details'!$H$28</f>
        <v>-150</v>
      </c>
      <c r="S187" s="227">
        <f>-'Transaction Details'!$H$28</f>
        <v>-150</v>
      </c>
      <c r="T187" s="227">
        <f>-'Transaction Details'!$H$28</f>
        <v>-150</v>
      </c>
    </row>
    <row r="188" spans="1:20" x14ac:dyDescent="0.3">
      <c r="B188" s="291" t="s">
        <v>270</v>
      </c>
      <c r="K188" s="226"/>
      <c r="L188" s="325">
        <f t="shared" ca="1" si="158"/>
        <v>710.30595395963724</v>
      </c>
      <c r="M188" s="325">
        <f ca="1">SUM(M183:M187)</f>
        <v>-205.03105543407014</v>
      </c>
      <c r="N188" s="325">
        <f t="shared" ref="N188:S188" ca="1" si="162">SUM(N183:N187)</f>
        <v>-137.13272874334507</v>
      </c>
      <c r="O188" s="325">
        <f t="shared" ca="1" si="162"/>
        <v>-16.178322059254697</v>
      </c>
      <c r="P188" s="325">
        <f t="shared" ca="1" si="162"/>
        <v>117.74182609950424</v>
      </c>
      <c r="Q188" s="325">
        <f t="shared" ca="1" si="162"/>
        <v>265.03863932075899</v>
      </c>
      <c r="R188" s="325">
        <f t="shared" ca="1" si="162"/>
        <v>420.89943790700681</v>
      </c>
      <c r="S188" s="325">
        <f t="shared" ca="1" si="162"/>
        <v>983.01008965036795</v>
      </c>
      <c r="T188" s="325">
        <f ca="1">SUM(T183:T187)</f>
        <v>710.30595395963724</v>
      </c>
    </row>
    <row r="189" spans="1:20" x14ac:dyDescent="0.3"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</row>
    <row r="190" spans="1:20" x14ac:dyDescent="0.3">
      <c r="B190" s="291" t="s">
        <v>271</v>
      </c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</row>
    <row r="191" spans="1:20" x14ac:dyDescent="0.3">
      <c r="B191" s="258" t="s">
        <v>272</v>
      </c>
      <c r="K191" s="226"/>
      <c r="L191" s="226">
        <f>T191</f>
        <v>500</v>
      </c>
      <c r="M191" s="226">
        <f ca="1">L193</f>
        <v>0</v>
      </c>
      <c r="N191" s="226">
        <f t="shared" ref="N191:R191" ca="1" si="163">M193</f>
        <v>205.03105543407014</v>
      </c>
      <c r="O191" s="226">
        <f t="shared" ca="1" si="163"/>
        <v>342.16378417741521</v>
      </c>
      <c r="P191" s="226">
        <f t="shared" ca="1" si="163"/>
        <v>358.34210623666991</v>
      </c>
      <c r="Q191" s="226">
        <f t="shared" ca="1" si="163"/>
        <v>240.60028013716567</v>
      </c>
      <c r="R191" s="226">
        <f t="shared" ca="1" si="163"/>
        <v>0</v>
      </c>
      <c r="S191" s="285">
        <v>0</v>
      </c>
      <c r="T191" s="227">
        <f>'Transaction Details'!$G$8</f>
        <v>500</v>
      </c>
    </row>
    <row r="192" spans="1:20" x14ac:dyDescent="0.3">
      <c r="B192" s="258" t="s">
        <v>273</v>
      </c>
      <c r="K192" s="226"/>
      <c r="L192" s="226">
        <f t="shared" ref="L192:L193" ca="1" si="164">T192</f>
        <v>-500</v>
      </c>
      <c r="M192" s="226">
        <f ca="1">-MIN(M191,M188)</f>
        <v>205.03105543407014</v>
      </c>
      <c r="N192" s="226">
        <f t="shared" ref="N192:R192" ca="1" si="165">-MIN(N191,N188)</f>
        <v>137.13272874334507</v>
      </c>
      <c r="O192" s="226">
        <f t="shared" ca="1" si="165"/>
        <v>16.178322059254697</v>
      </c>
      <c r="P192" s="226">
        <f t="shared" ca="1" si="165"/>
        <v>-117.74182609950424</v>
      </c>
      <c r="Q192" s="226">
        <f t="shared" ca="1" si="165"/>
        <v>-240.60028013716567</v>
      </c>
      <c r="R192" s="226">
        <f t="shared" ca="1" si="165"/>
        <v>0</v>
      </c>
      <c r="S192" s="285">
        <v>0</v>
      </c>
      <c r="T192" s="226">
        <f ca="1">-MIN(T191,T188)</f>
        <v>-500</v>
      </c>
    </row>
    <row r="193" spans="2:20" x14ac:dyDescent="0.3">
      <c r="B193" s="258" t="s">
        <v>274</v>
      </c>
      <c r="K193" s="226"/>
      <c r="L193" s="365">
        <f t="shared" ca="1" si="164"/>
        <v>0</v>
      </c>
      <c r="M193" s="365">
        <f ca="1">SUM(M191:M192)</f>
        <v>205.03105543407014</v>
      </c>
      <c r="N193" s="365">
        <f t="shared" ref="N193:R193" ca="1" si="166">SUM(N191:N192)</f>
        <v>342.16378417741521</v>
      </c>
      <c r="O193" s="365">
        <f t="shared" ca="1" si="166"/>
        <v>358.34210623666991</v>
      </c>
      <c r="P193" s="365">
        <f t="shared" ca="1" si="166"/>
        <v>240.60028013716567</v>
      </c>
      <c r="Q193" s="365">
        <f t="shared" ca="1" si="166"/>
        <v>0</v>
      </c>
      <c r="R193" s="365">
        <f t="shared" ca="1" si="166"/>
        <v>0</v>
      </c>
      <c r="S193" s="366">
        <v>0</v>
      </c>
      <c r="T193" s="365">
        <f ca="1">SUM(T191:T192)</f>
        <v>0</v>
      </c>
    </row>
    <row r="194" spans="2:20" x14ac:dyDescent="0.3"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</row>
    <row r="195" spans="2:20" x14ac:dyDescent="0.3">
      <c r="B195" s="258" t="s">
        <v>275</v>
      </c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</row>
    <row r="196" spans="2:20" x14ac:dyDescent="0.3"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</row>
    <row r="197" spans="2:20" x14ac:dyDescent="0.3">
      <c r="B197" s="258" t="s">
        <v>265</v>
      </c>
      <c r="K197" s="226"/>
      <c r="L197" s="367">
        <f>'Inputs and Drivers'!L112</f>
        <v>4.1000000000000002E-2</v>
      </c>
      <c r="M197" s="367">
        <f>'Inputs and Drivers'!M112</f>
        <v>3.7000000000000005E-2</v>
      </c>
      <c r="N197" s="367">
        <f>'Inputs and Drivers'!N112</f>
        <v>3.4500000000000003E-2</v>
      </c>
      <c r="O197" s="367">
        <f>'Inputs and Drivers'!O112</f>
        <v>3.2000000000000001E-2</v>
      </c>
      <c r="P197" s="367">
        <f>'Inputs and Drivers'!P112</f>
        <v>2.9499999999999998E-2</v>
      </c>
      <c r="Q197" s="367">
        <f>'Inputs and Drivers'!Q112</f>
        <v>2.7000000000000003E-2</v>
      </c>
      <c r="R197" s="367">
        <f>'Inputs and Drivers'!R112</f>
        <v>2.7000000000000003E-2</v>
      </c>
      <c r="S197" s="368">
        <f>$L197</f>
        <v>4.1000000000000002E-2</v>
      </c>
      <c r="T197" s="368">
        <f t="shared" ref="T197" si="167">$L197</f>
        <v>4.1000000000000002E-2</v>
      </c>
    </row>
    <row r="198" spans="2:20" x14ac:dyDescent="0.3">
      <c r="B198" s="258" t="s">
        <v>266</v>
      </c>
      <c r="K198" s="226"/>
      <c r="L198" s="226">
        <f ca="1">T198</f>
        <v>7.6875</v>
      </c>
      <c r="M198" s="226">
        <f ca="1">AVERAGE(M191,M193)*M197*M$6</f>
        <v>3.7930745255302982</v>
      </c>
      <c r="N198" s="226">
        <f ca="1">AVERAGE(N191,N193)*N197*N$6</f>
        <v>9.4391109832981233</v>
      </c>
      <c r="O198" s="226">
        <f t="shared" ref="O198:S198" ca="1" si="168">AVERAGE(O191,O193)*O197*O$6</f>
        <v>11.208094246625363</v>
      </c>
      <c r="P198" s="226">
        <f t="shared" ca="1" si="168"/>
        <v>8.834400199014075</v>
      </c>
      <c r="Q198" s="226">
        <f t="shared" ca="1" si="168"/>
        <v>3.2481037818517371</v>
      </c>
      <c r="R198" s="226">
        <f t="shared" ca="1" si="168"/>
        <v>0</v>
      </c>
      <c r="S198" s="226">
        <f t="shared" si="168"/>
        <v>0</v>
      </c>
      <c r="T198" s="226">
        <f ca="1">AVERAGE(T191,T193)*T197*T$6</f>
        <v>7.6875</v>
      </c>
    </row>
    <row r="199" spans="2:20" x14ac:dyDescent="0.3"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</row>
    <row r="200" spans="2:20" x14ac:dyDescent="0.3">
      <c r="B200" s="291" t="s">
        <v>276</v>
      </c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</row>
    <row r="201" spans="2:20" x14ac:dyDescent="0.3">
      <c r="B201" s="258" t="s">
        <v>272</v>
      </c>
      <c r="K201" s="226"/>
      <c r="L201" s="226">
        <f t="shared" ref="L201:L203" si="169">T201</f>
        <v>250</v>
      </c>
      <c r="M201" s="226">
        <f ca="1">L203</f>
        <v>750</v>
      </c>
      <c r="N201" s="226">
        <f t="shared" ref="N201:R201" ca="1" si="170">M203</f>
        <v>544.96894456592986</v>
      </c>
      <c r="O201" s="226">
        <f t="shared" ca="1" si="170"/>
        <v>407.83621582258479</v>
      </c>
      <c r="P201" s="226">
        <f t="shared" ca="1" si="170"/>
        <v>391.65789376333009</v>
      </c>
      <c r="Q201" s="226">
        <f t="shared" ca="1" si="170"/>
        <v>509.39971986283433</v>
      </c>
      <c r="R201" s="226">
        <f t="shared" ca="1" si="170"/>
        <v>750</v>
      </c>
      <c r="S201" s="285">
        <v>0</v>
      </c>
      <c r="T201" s="227">
        <f>'Transaction Details'!E38-T191</f>
        <v>250</v>
      </c>
    </row>
    <row r="202" spans="2:20" x14ac:dyDescent="0.3">
      <c r="B202" s="258" t="s">
        <v>277</v>
      </c>
      <c r="K202" s="226"/>
      <c r="L202" s="226">
        <f t="shared" ca="1" si="169"/>
        <v>500</v>
      </c>
      <c r="M202" s="226">
        <f ca="1">-M192</f>
        <v>-205.03105543407014</v>
      </c>
      <c r="N202" s="226">
        <f t="shared" ref="N202:S202" ca="1" si="171">-N192</f>
        <v>-137.13272874334507</v>
      </c>
      <c r="O202" s="226">
        <f t="shared" ca="1" si="171"/>
        <v>-16.178322059254697</v>
      </c>
      <c r="P202" s="226">
        <f t="shared" ca="1" si="171"/>
        <v>117.74182609950424</v>
      </c>
      <c r="Q202" s="226">
        <f t="shared" ca="1" si="171"/>
        <v>240.60028013716567</v>
      </c>
      <c r="R202" s="226">
        <f t="shared" ca="1" si="171"/>
        <v>0</v>
      </c>
      <c r="S202" s="285">
        <f t="shared" si="171"/>
        <v>0</v>
      </c>
      <c r="T202" s="226">
        <f ca="1">-T192</f>
        <v>500</v>
      </c>
    </row>
    <row r="203" spans="2:20" x14ac:dyDescent="0.3">
      <c r="B203" s="258" t="s">
        <v>274</v>
      </c>
      <c r="K203" s="226"/>
      <c r="L203" s="226">
        <f t="shared" ca="1" si="169"/>
        <v>750</v>
      </c>
      <c r="M203" s="226">
        <f ca="1">SUM(M201:M202)</f>
        <v>544.96894456592986</v>
      </c>
      <c r="N203" s="226">
        <f t="shared" ref="N203:R203" ca="1" si="172">SUM(N201:N202)</f>
        <v>407.83621582258479</v>
      </c>
      <c r="O203" s="226">
        <f t="shared" ca="1" si="172"/>
        <v>391.65789376333009</v>
      </c>
      <c r="P203" s="226">
        <f t="shared" ca="1" si="172"/>
        <v>509.39971986283433</v>
      </c>
      <c r="Q203" s="226">
        <f t="shared" ca="1" si="172"/>
        <v>750</v>
      </c>
      <c r="R203" s="226">
        <f t="shared" ca="1" si="172"/>
        <v>750</v>
      </c>
      <c r="S203" s="285">
        <v>0</v>
      </c>
      <c r="T203" s="226">
        <f ca="1">SUM(T201:T202)</f>
        <v>750</v>
      </c>
    </row>
    <row r="204" spans="2:20" x14ac:dyDescent="0.3"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</row>
    <row r="205" spans="2:20" x14ac:dyDescent="0.3">
      <c r="B205" s="258" t="s">
        <v>278</v>
      </c>
      <c r="K205" s="226"/>
      <c r="L205" s="369">
        <f>'Transaction Details'!$I$38</f>
        <v>2.5000000000000001E-2</v>
      </c>
      <c r="M205" s="369">
        <f>'Transaction Details'!$I$38</f>
        <v>2.5000000000000001E-2</v>
      </c>
      <c r="N205" s="369">
        <f>'Transaction Details'!$I$38</f>
        <v>2.5000000000000001E-2</v>
      </c>
      <c r="O205" s="369">
        <f>'Transaction Details'!$I$38</f>
        <v>2.5000000000000001E-2</v>
      </c>
      <c r="P205" s="369">
        <f>'Transaction Details'!$I$38</f>
        <v>2.5000000000000001E-2</v>
      </c>
      <c r="Q205" s="369">
        <f>'Transaction Details'!$I$38</f>
        <v>2.5000000000000001E-2</v>
      </c>
      <c r="R205" s="369">
        <f>'Transaction Details'!$I$38</f>
        <v>2.5000000000000001E-2</v>
      </c>
      <c r="S205" s="370">
        <f>$M205</f>
        <v>2.5000000000000001E-2</v>
      </c>
      <c r="T205" s="370">
        <f>$M205</f>
        <v>2.5000000000000001E-2</v>
      </c>
    </row>
    <row r="206" spans="2:20" x14ac:dyDescent="0.3">
      <c r="B206" s="258" t="s">
        <v>279</v>
      </c>
      <c r="K206" s="226"/>
      <c r="L206" s="226">
        <f t="shared" ref="L206" ca="1" si="173">T206</f>
        <v>9.375</v>
      </c>
      <c r="M206" s="226">
        <f t="shared" ref="M206" si="174">U206</f>
        <v>0</v>
      </c>
      <c r="N206" s="226">
        <f t="shared" ref="N206" si="175">V206</f>
        <v>0</v>
      </c>
      <c r="O206" s="226">
        <f t="shared" ref="O206" si="176">W206</f>
        <v>0</v>
      </c>
      <c r="P206" s="226">
        <f t="shared" ref="P206" si="177">X206</f>
        <v>0</v>
      </c>
      <c r="Q206" s="226">
        <f t="shared" ref="Q206" si="178">Y206</f>
        <v>0</v>
      </c>
      <c r="R206" s="226">
        <f t="shared" ref="R206" si="179">Z206</f>
        <v>0</v>
      </c>
      <c r="S206" s="226">
        <f t="shared" ref="S206" si="180">AA206</f>
        <v>0</v>
      </c>
      <c r="T206" s="226">
        <f ca="1">AVERAGE(T201,T203)*T205*T$6</f>
        <v>9.375</v>
      </c>
    </row>
    <row r="207" spans="2:20" x14ac:dyDescent="0.3">
      <c r="K207" s="226"/>
      <c r="L207" s="226"/>
      <c r="M207" s="226"/>
      <c r="N207" s="226"/>
      <c r="O207" s="226"/>
      <c r="P207" s="226"/>
      <c r="Q207" s="226"/>
      <c r="R207" s="226"/>
      <c r="S207" s="226"/>
      <c r="T207" s="226"/>
    </row>
    <row r="208" spans="2:20" x14ac:dyDescent="0.3">
      <c r="B208" s="291" t="s">
        <v>280</v>
      </c>
      <c r="K208" s="226"/>
      <c r="L208" s="325">
        <f t="shared" ref="L208" ca="1" si="181">T208</f>
        <v>210.30595395963724</v>
      </c>
      <c r="M208" s="325">
        <f t="shared" ref="M208:R208" ca="1" si="182">M188+M192</f>
        <v>0</v>
      </c>
      <c r="N208" s="325">
        <f t="shared" ca="1" si="182"/>
        <v>0</v>
      </c>
      <c r="O208" s="325">
        <f t="shared" ca="1" si="182"/>
        <v>0</v>
      </c>
      <c r="P208" s="325">
        <f t="shared" ca="1" si="182"/>
        <v>0</v>
      </c>
      <c r="Q208" s="325">
        <f t="shared" ca="1" si="182"/>
        <v>24.43835918359332</v>
      </c>
      <c r="R208" s="325">
        <f t="shared" ca="1" si="182"/>
        <v>420.89943790700681</v>
      </c>
      <c r="S208" s="325">
        <v>0</v>
      </c>
      <c r="T208" s="325">
        <f ca="1">T188+T192</f>
        <v>210.30595395963724</v>
      </c>
    </row>
    <row r="209" spans="1:20" x14ac:dyDescent="0.3">
      <c r="B209" s="291"/>
    </row>
    <row r="210" spans="1:20" ht="18" x14ac:dyDescent="0.35">
      <c r="A210" s="279" t="s">
        <v>120</v>
      </c>
      <c r="B210" s="326" t="s">
        <v>281</v>
      </c>
      <c r="C210" s="282"/>
      <c r="D210" s="282"/>
      <c r="E210" s="282"/>
      <c r="F210" s="282"/>
      <c r="G210" s="282"/>
      <c r="H210" s="282"/>
      <c r="I210" s="282"/>
      <c r="J210" s="282"/>
      <c r="K210" s="282"/>
      <c r="L210" s="282"/>
      <c r="M210" s="282"/>
      <c r="N210" s="282"/>
      <c r="O210" s="282"/>
      <c r="P210" s="282"/>
      <c r="Q210" s="282"/>
      <c r="R210" s="282"/>
      <c r="S210" s="282"/>
      <c r="T210" s="282"/>
    </row>
    <row r="212" spans="1:20" ht="15" thickBot="1" x14ac:dyDescent="0.35">
      <c r="B212" s="353" t="s">
        <v>2</v>
      </c>
      <c r="K212" s="43">
        <v>2025</v>
      </c>
      <c r="L212" s="43">
        <f t="shared" ref="L212:R212" si="183">K212+1</f>
        <v>2026</v>
      </c>
      <c r="M212" s="43">
        <f t="shared" si="183"/>
        <v>2027</v>
      </c>
      <c r="N212" s="43">
        <f t="shared" si="183"/>
        <v>2028</v>
      </c>
      <c r="O212" s="43">
        <f t="shared" si="183"/>
        <v>2029</v>
      </c>
      <c r="P212" s="43">
        <f t="shared" si="183"/>
        <v>2030</v>
      </c>
      <c r="Q212" s="43">
        <f t="shared" si="183"/>
        <v>2031</v>
      </c>
      <c r="R212" s="43">
        <f t="shared" si="183"/>
        <v>2032</v>
      </c>
      <c r="S212" s="43">
        <f>S10</f>
        <v>2026</v>
      </c>
      <c r="T212" s="43">
        <f>T10</f>
        <v>2026</v>
      </c>
    </row>
    <row r="213" spans="1:20" x14ac:dyDescent="0.3">
      <c r="B213" s="353"/>
      <c r="K213" s="200"/>
      <c r="L213" s="200"/>
      <c r="M213" s="200"/>
      <c r="N213" s="200"/>
      <c r="O213" s="200"/>
      <c r="P213" s="200"/>
      <c r="Q213" s="200"/>
      <c r="R213" s="200"/>
    </row>
    <row r="214" spans="1:20" ht="15.6" x14ac:dyDescent="0.3">
      <c r="B214" s="371" t="s">
        <v>76</v>
      </c>
      <c r="K214" s="200"/>
      <c r="L214" s="200"/>
      <c r="M214" s="200"/>
      <c r="N214" s="200"/>
      <c r="O214" s="200"/>
      <c r="P214" s="200"/>
      <c r="Q214" s="200"/>
      <c r="R214" s="200"/>
    </row>
    <row r="215" spans="1:20" x14ac:dyDescent="0.3">
      <c r="B215" s="353" t="s">
        <v>282</v>
      </c>
      <c r="K215" s="200"/>
      <c r="L215" s="372">
        <f>'Transaction Details'!$F$39</f>
        <v>0.1</v>
      </c>
      <c r="M215" s="373">
        <f>'Transaction Details'!$F$39</f>
        <v>0.1</v>
      </c>
      <c r="N215" s="373">
        <f>'Transaction Details'!$F$39</f>
        <v>0.1</v>
      </c>
      <c r="O215" s="373">
        <f>'Transaction Details'!$F$39</f>
        <v>0.1</v>
      </c>
      <c r="P215" s="373">
        <f>'Transaction Details'!$F$39</f>
        <v>0.1</v>
      </c>
      <c r="Q215" s="373">
        <f>'Transaction Details'!$F$39</f>
        <v>0.1</v>
      </c>
      <c r="R215" s="373">
        <f>'Transaction Details'!$F$39</f>
        <v>0.1</v>
      </c>
      <c r="S215" s="373">
        <f>'Transaction Details'!$F$39</f>
        <v>0.1</v>
      </c>
      <c r="T215" s="374">
        <f>'Transaction Details'!$F$39</f>
        <v>0.1</v>
      </c>
    </row>
    <row r="216" spans="1:20" x14ac:dyDescent="0.3">
      <c r="B216" s="353" t="s">
        <v>283</v>
      </c>
      <c r="K216" s="200"/>
      <c r="L216" s="375">
        <f ca="1">L208</f>
        <v>210.30595395963724</v>
      </c>
      <c r="M216" s="376">
        <f t="shared" ref="M216:T216" ca="1" si="184">M208</f>
        <v>0</v>
      </c>
      <c r="N216" s="376">
        <f t="shared" ca="1" si="184"/>
        <v>0</v>
      </c>
      <c r="O216" s="376">
        <f t="shared" ca="1" si="184"/>
        <v>0</v>
      </c>
      <c r="P216" s="376">
        <f t="shared" ca="1" si="184"/>
        <v>0</v>
      </c>
      <c r="Q216" s="376">
        <f t="shared" ca="1" si="184"/>
        <v>24.43835918359332</v>
      </c>
      <c r="R216" s="376">
        <f t="shared" ca="1" si="184"/>
        <v>420.89943790700681</v>
      </c>
      <c r="S216" s="376">
        <f t="shared" si="184"/>
        <v>0</v>
      </c>
      <c r="T216" s="377">
        <f t="shared" ca="1" si="184"/>
        <v>210.30595395963724</v>
      </c>
    </row>
    <row r="217" spans="1:20" x14ac:dyDescent="0.3">
      <c r="B217" s="353" t="s">
        <v>284</v>
      </c>
      <c r="K217" s="200"/>
      <c r="L217" s="378">
        <f t="shared" ref="L217:T217" ca="1" si="185">IF(L216&gt;0,1,0)</f>
        <v>1</v>
      </c>
      <c r="M217" s="379">
        <f t="shared" ca="1" si="185"/>
        <v>0</v>
      </c>
      <c r="N217" s="379">
        <f t="shared" ca="1" si="185"/>
        <v>0</v>
      </c>
      <c r="O217" s="379">
        <f t="shared" ca="1" si="185"/>
        <v>0</v>
      </c>
      <c r="P217" s="379">
        <f t="shared" ca="1" si="185"/>
        <v>0</v>
      </c>
      <c r="Q217" s="379">
        <f t="shared" ca="1" si="185"/>
        <v>1</v>
      </c>
      <c r="R217" s="379">
        <f t="shared" ca="1" si="185"/>
        <v>1</v>
      </c>
      <c r="S217" s="379">
        <f t="shared" si="185"/>
        <v>0</v>
      </c>
      <c r="T217" s="380">
        <f t="shared" ca="1" si="185"/>
        <v>1</v>
      </c>
    </row>
    <row r="218" spans="1:20" x14ac:dyDescent="0.3">
      <c r="B218" s="353"/>
      <c r="K218" s="200"/>
      <c r="L218" s="200"/>
      <c r="M218" s="200"/>
      <c r="N218" s="200"/>
      <c r="O218" s="200"/>
      <c r="P218" s="200"/>
      <c r="Q218" s="200"/>
      <c r="R218" s="200"/>
    </row>
    <row r="219" spans="1:20" x14ac:dyDescent="0.3">
      <c r="B219" s="353" t="s">
        <v>285</v>
      </c>
      <c r="K219" s="200"/>
      <c r="L219" s="226">
        <f>T219</f>
        <v>5500</v>
      </c>
      <c r="M219" s="226">
        <f ca="1">L222</f>
        <v>4877.194046040363</v>
      </c>
      <c r="N219" s="226">
        <f t="shared" ref="N219:R219" ca="1" si="186">M222</f>
        <v>4327.194046040363</v>
      </c>
      <c r="O219" s="226">
        <f t="shared" ca="1" si="186"/>
        <v>3777.194046040363</v>
      </c>
      <c r="P219" s="226">
        <f t="shared" ca="1" si="186"/>
        <v>3227.194046040363</v>
      </c>
      <c r="Q219" s="226">
        <f t="shared" ca="1" si="186"/>
        <v>2677.194046040363</v>
      </c>
      <c r="R219" s="226">
        <f t="shared" ca="1" si="186"/>
        <v>2102.7556868567699</v>
      </c>
      <c r="S219" s="226">
        <v>0</v>
      </c>
      <c r="T219" s="227">
        <f>'Transaction Details'!$G$9</f>
        <v>5500</v>
      </c>
    </row>
    <row r="220" spans="1:20" x14ac:dyDescent="0.3">
      <c r="B220" s="353" t="s">
        <v>286</v>
      </c>
      <c r="C220" s="381" t="s">
        <v>287</v>
      </c>
      <c r="K220" s="200"/>
      <c r="L220" s="226">
        <f>T220</f>
        <v>-412.5</v>
      </c>
      <c r="M220" s="226">
        <f>$T$219*M215*-1*M$6</f>
        <v>-550</v>
      </c>
      <c r="N220" s="226">
        <f>$T$219*N215*-1*N$6</f>
        <v>-550</v>
      </c>
      <c r="O220" s="226">
        <f>$T$219*O215*-1*O$6</f>
        <v>-550</v>
      </c>
      <c r="P220" s="226">
        <f t="shared" ref="P220:R220" si="187">$T$219*P215*-1*P$6</f>
        <v>-550</v>
      </c>
      <c r="Q220" s="226">
        <f t="shared" si="187"/>
        <v>-550</v>
      </c>
      <c r="R220" s="226">
        <f t="shared" si="187"/>
        <v>-550</v>
      </c>
      <c r="S220" s="226">
        <v>0</v>
      </c>
      <c r="T220" s="226">
        <f>$T$219*T215*-1*T$6</f>
        <v>-412.5</v>
      </c>
    </row>
    <row r="221" spans="1:20" x14ac:dyDescent="0.3">
      <c r="B221" s="353" t="s">
        <v>288</v>
      </c>
      <c r="C221" s="382">
        <f>'Transaction Details'!$K$39</f>
        <v>1</v>
      </c>
      <c r="D221" s="318"/>
      <c r="E221" s="318"/>
      <c r="K221" s="200"/>
      <c r="L221" s="226">
        <f t="shared" ref="L221:L222" ca="1" si="188">T221</f>
        <v>-210.30595395963724</v>
      </c>
      <c r="M221" s="226">
        <f t="shared" ref="M221:R221" ca="1" si="189">MIN(M216*$C$221,M219)*M217*-1</f>
        <v>0</v>
      </c>
      <c r="N221" s="226">
        <f ca="1">MIN(N216*$C$221,N219)*N217*-1</f>
        <v>0</v>
      </c>
      <c r="O221" s="226">
        <f t="shared" ca="1" si="189"/>
        <v>0</v>
      </c>
      <c r="P221" s="226">
        <f t="shared" ca="1" si="189"/>
        <v>0</v>
      </c>
      <c r="Q221" s="226">
        <f t="shared" ca="1" si="189"/>
        <v>-24.43835918359332</v>
      </c>
      <c r="R221" s="226">
        <f t="shared" ca="1" si="189"/>
        <v>-420.89943790700681</v>
      </c>
      <c r="S221" s="226">
        <v>0</v>
      </c>
      <c r="T221" s="226">
        <f ca="1">MIN(T216*$C$221,T219)*T217*-1</f>
        <v>-210.30595395963724</v>
      </c>
    </row>
    <row r="222" spans="1:20" x14ac:dyDescent="0.3">
      <c r="B222" s="353" t="s">
        <v>289</v>
      </c>
      <c r="D222" s="318"/>
      <c r="E222" s="318"/>
      <c r="K222" s="200"/>
      <c r="L222" s="226">
        <f t="shared" ca="1" si="188"/>
        <v>4877.194046040363</v>
      </c>
      <c r="M222" s="226">
        <f t="shared" ref="M222:R222" ca="1" si="190">SUM(M219:M221)</f>
        <v>4327.194046040363</v>
      </c>
      <c r="N222" s="226">
        <f t="shared" ca="1" si="190"/>
        <v>3777.194046040363</v>
      </c>
      <c r="O222" s="226">
        <f t="shared" ca="1" si="190"/>
        <v>3227.194046040363</v>
      </c>
      <c r="P222" s="226">
        <f t="shared" ca="1" si="190"/>
        <v>2677.194046040363</v>
      </c>
      <c r="Q222" s="226">
        <f t="shared" ca="1" si="190"/>
        <v>2102.7556868567699</v>
      </c>
      <c r="R222" s="226">
        <f t="shared" ca="1" si="190"/>
        <v>1131.8562489497631</v>
      </c>
      <c r="S222" s="226">
        <v>0</v>
      </c>
      <c r="T222" s="226">
        <f ca="1">SUM(T219:T221)</f>
        <v>4877.194046040363</v>
      </c>
    </row>
    <row r="223" spans="1:20" x14ac:dyDescent="0.3">
      <c r="B223" s="353"/>
      <c r="K223" s="200"/>
      <c r="L223" s="224"/>
      <c r="M223" s="224"/>
      <c r="N223" s="224"/>
      <c r="O223" s="224"/>
      <c r="P223" s="224"/>
      <c r="Q223" s="224"/>
      <c r="R223" s="224"/>
      <c r="S223" s="226"/>
      <c r="T223" s="226"/>
    </row>
    <row r="224" spans="1:20" x14ac:dyDescent="0.3">
      <c r="B224" s="353" t="s">
        <v>290</v>
      </c>
      <c r="K224" s="200"/>
      <c r="L224" s="224"/>
      <c r="M224" s="224"/>
      <c r="N224" s="224"/>
      <c r="O224" s="224"/>
      <c r="P224" s="224"/>
      <c r="Q224" s="224"/>
      <c r="R224" s="224"/>
      <c r="S224" s="226"/>
      <c r="T224" s="226"/>
    </row>
    <row r="225" spans="1:20" x14ac:dyDescent="0.3">
      <c r="B225" s="353"/>
      <c r="K225" s="200"/>
      <c r="L225" s="200"/>
      <c r="M225" s="200"/>
      <c r="N225" s="200"/>
      <c r="O225" s="200"/>
      <c r="P225" s="200"/>
      <c r="Q225" s="200"/>
      <c r="R225" s="200"/>
    </row>
    <row r="226" spans="1:20" x14ac:dyDescent="0.3">
      <c r="B226" s="353" t="s">
        <v>265</v>
      </c>
      <c r="K226" s="200"/>
      <c r="L226" s="383">
        <f>'Inputs and Drivers'!L115</f>
        <v>4.4500000000000005E-2</v>
      </c>
      <c r="M226" s="383">
        <f>'Inputs and Drivers'!M115</f>
        <v>4.0500000000000008E-2</v>
      </c>
      <c r="N226" s="383">
        <f>'Inputs and Drivers'!N115</f>
        <v>3.8000000000000006E-2</v>
      </c>
      <c r="O226" s="383">
        <f>'Inputs and Drivers'!O115</f>
        <v>3.5500000000000004E-2</v>
      </c>
      <c r="P226" s="383">
        <f>'Inputs and Drivers'!P115</f>
        <v>3.3000000000000002E-2</v>
      </c>
      <c r="Q226" s="383">
        <f>'Inputs and Drivers'!Q115</f>
        <v>3.0500000000000003E-2</v>
      </c>
      <c r="R226" s="383">
        <f>'Inputs and Drivers'!R115</f>
        <v>3.0500000000000003E-2</v>
      </c>
      <c r="S226" s="384">
        <f>$L226</f>
        <v>4.4500000000000005E-2</v>
      </c>
      <c r="T226" s="384">
        <f t="shared" ref="T226" si="191">$L226</f>
        <v>4.4500000000000005E-2</v>
      </c>
    </row>
    <row r="227" spans="1:20" x14ac:dyDescent="0.3">
      <c r="B227" s="353" t="s">
        <v>266</v>
      </c>
      <c r="K227" s="200"/>
      <c r="L227" s="226">
        <f ca="1">T227</f>
        <v>230.89256752439812</v>
      </c>
      <c r="M227" s="226">
        <f t="shared" ref="M227:R227" ca="1" si="192">AVERAGE(M219,M222)*M226</f>
        <v>186.38885886463473</v>
      </c>
      <c r="N227" s="226">
        <f t="shared" ca="1" si="192"/>
        <v>153.98337374953383</v>
      </c>
      <c r="O227" s="226">
        <f t="shared" ca="1" si="192"/>
        <v>124.3278886344329</v>
      </c>
      <c r="P227" s="226">
        <f t="shared" ca="1" si="192"/>
        <v>97.422403519331979</v>
      </c>
      <c r="Q227" s="226">
        <f t="shared" ca="1" si="192"/>
        <v>72.894233426681282</v>
      </c>
      <c r="R227" s="226">
        <f t="shared" ca="1" si="192"/>
        <v>49.32783202104963</v>
      </c>
      <c r="S227" s="285">
        <v>0</v>
      </c>
      <c r="T227" s="226">
        <f ca="1">AVERAGE(T219,T222)*T226</f>
        <v>230.89256752439812</v>
      </c>
    </row>
    <row r="228" spans="1:20" x14ac:dyDescent="0.3">
      <c r="B228" s="353"/>
    </row>
    <row r="229" spans="1:20" x14ac:dyDescent="0.3">
      <c r="B229" s="353" t="s">
        <v>291</v>
      </c>
      <c r="L229" s="226">
        <f ca="1">L216+L221</f>
        <v>0</v>
      </c>
    </row>
    <row r="230" spans="1:20" x14ac:dyDescent="0.3">
      <c r="B230" s="353"/>
    </row>
    <row r="231" spans="1:20" ht="18" x14ac:dyDescent="0.35">
      <c r="A231" s="279" t="s">
        <v>120</v>
      </c>
      <c r="B231" s="326" t="s">
        <v>292</v>
      </c>
      <c r="C231" s="282"/>
      <c r="D231" s="282"/>
      <c r="E231" s="282"/>
      <c r="F231" s="282"/>
      <c r="G231" s="282"/>
      <c r="H231" s="282"/>
      <c r="I231" s="282"/>
      <c r="J231" s="282"/>
      <c r="K231" s="282"/>
      <c r="L231" s="282"/>
      <c r="M231" s="282"/>
      <c r="N231" s="282"/>
      <c r="O231" s="282"/>
      <c r="P231" s="282"/>
      <c r="Q231" s="282"/>
      <c r="R231" s="282"/>
      <c r="S231" s="282"/>
      <c r="T231" s="282"/>
    </row>
    <row r="232" spans="1:20" x14ac:dyDescent="0.3">
      <c r="B232" s="353"/>
    </row>
    <row r="233" spans="1:20" ht="15" thickBot="1" x14ac:dyDescent="0.35">
      <c r="B233" s="353"/>
      <c r="K233" s="43">
        <v>2025</v>
      </c>
      <c r="L233" s="43">
        <f t="shared" ref="L233" si="193">K233+1</f>
        <v>2026</v>
      </c>
      <c r="M233" s="43">
        <f t="shared" ref="M233" si="194">L233+1</f>
        <v>2027</v>
      </c>
      <c r="N233" s="43">
        <f t="shared" ref="N233" si="195">M233+1</f>
        <v>2028</v>
      </c>
      <c r="O233" s="43">
        <f t="shared" ref="O233" si="196">N233+1</f>
        <v>2029</v>
      </c>
      <c r="P233" s="43">
        <f t="shared" ref="P233" si="197">O233+1</f>
        <v>2030</v>
      </c>
      <c r="Q233" s="43">
        <f t="shared" ref="Q233" si="198">P233+1</f>
        <v>2031</v>
      </c>
      <c r="R233" s="43">
        <f>Q233+1</f>
        <v>2032</v>
      </c>
      <c r="S233" s="43">
        <f>S10</f>
        <v>2026</v>
      </c>
      <c r="T233" s="43">
        <f>T10</f>
        <v>2026</v>
      </c>
    </row>
    <row r="234" spans="1:20" x14ac:dyDescent="0.3">
      <c r="B234" s="353"/>
    </row>
    <row r="235" spans="1:20" x14ac:dyDescent="0.3">
      <c r="B235" s="353" t="s">
        <v>293</v>
      </c>
      <c r="K235" s="226">
        <f t="shared" ref="K235:T235" si="199">K117</f>
        <v>579.70000000000005</v>
      </c>
      <c r="L235" s="226">
        <f t="shared" ca="1" si="199"/>
        <v>1015.6648720272212</v>
      </c>
      <c r="M235" s="226">
        <f t="shared" ca="1" si="199"/>
        <v>150.00000000000091</v>
      </c>
      <c r="N235" s="226">
        <f t="shared" ca="1" si="199"/>
        <v>150</v>
      </c>
      <c r="O235" s="226">
        <f t="shared" ca="1" si="199"/>
        <v>150</v>
      </c>
      <c r="P235" s="226">
        <f t="shared" ca="1" si="199"/>
        <v>150</v>
      </c>
      <c r="Q235" s="226">
        <f t="shared" ca="1" si="199"/>
        <v>150</v>
      </c>
      <c r="R235" s="226">
        <f t="shared" ca="1" si="199"/>
        <v>150</v>
      </c>
      <c r="S235" s="226">
        <f t="shared" ca="1" si="199"/>
        <v>1015.6648720272212</v>
      </c>
      <c r="T235" s="226">
        <f t="shared" ca="1" si="199"/>
        <v>1133.0100896503679</v>
      </c>
    </row>
    <row r="236" spans="1:20" x14ac:dyDescent="0.3">
      <c r="B236" s="353" t="s">
        <v>294</v>
      </c>
      <c r="K236" s="226">
        <f t="shared" ref="K236:T236" ca="1" si="200">K118</f>
        <v>435.96487202722125</v>
      </c>
      <c r="L236" s="226">
        <f t="shared" ca="1" si="200"/>
        <v>-865.66487202722033</v>
      </c>
      <c r="M236" s="226">
        <f t="shared" ca="1" si="200"/>
        <v>-9.0949470177292824E-13</v>
      </c>
      <c r="N236" s="226">
        <f t="shared" ca="1" si="200"/>
        <v>0</v>
      </c>
      <c r="O236" s="226">
        <f t="shared" ca="1" si="200"/>
        <v>0</v>
      </c>
      <c r="P236" s="226">
        <f t="shared" ca="1" si="200"/>
        <v>0</v>
      </c>
      <c r="Q236" s="226">
        <f t="shared" ca="1" si="200"/>
        <v>0</v>
      </c>
      <c r="R236" s="226">
        <f t="shared" ca="1" si="200"/>
        <v>0</v>
      </c>
      <c r="S236" s="226">
        <f t="shared" ca="1" si="200"/>
        <v>117.34521762314665</v>
      </c>
      <c r="T236" s="226">
        <f t="shared" ca="1" si="200"/>
        <v>-983.01008965036704</v>
      </c>
    </row>
    <row r="237" spans="1:20" x14ac:dyDescent="0.3">
      <c r="B237" s="353" t="s">
        <v>295</v>
      </c>
      <c r="K237" s="226">
        <f t="shared" ref="K237:T237" ca="1" si="201">K119</f>
        <v>1015.6648720272212</v>
      </c>
      <c r="L237" s="226">
        <f t="shared" ca="1" si="201"/>
        <v>150.00000000000091</v>
      </c>
      <c r="M237" s="226">
        <f t="shared" ca="1" si="201"/>
        <v>150</v>
      </c>
      <c r="N237" s="226">
        <f t="shared" ca="1" si="201"/>
        <v>150</v>
      </c>
      <c r="O237" s="226">
        <f t="shared" ca="1" si="201"/>
        <v>150</v>
      </c>
      <c r="P237" s="226">
        <f t="shared" ca="1" si="201"/>
        <v>150</v>
      </c>
      <c r="Q237" s="226">
        <f t="shared" ca="1" si="201"/>
        <v>150</v>
      </c>
      <c r="R237" s="226">
        <f t="shared" ca="1" si="201"/>
        <v>150</v>
      </c>
      <c r="S237" s="226">
        <f t="shared" ca="1" si="201"/>
        <v>1133.0100896503679</v>
      </c>
      <c r="T237" s="226">
        <f t="shared" ca="1" si="201"/>
        <v>150.00000000000091</v>
      </c>
    </row>
    <row r="238" spans="1:20" x14ac:dyDescent="0.3">
      <c r="B238" s="353"/>
    </row>
    <row r="239" spans="1:20" x14ac:dyDescent="0.3">
      <c r="B239" s="353" t="s">
        <v>296</v>
      </c>
      <c r="K239" s="310">
        <f t="shared" ref="K239:R239" si="202">K44</f>
        <v>3.7499999999999999E-2</v>
      </c>
      <c r="L239" s="310">
        <f t="shared" si="202"/>
        <v>3.7885714285714286E-2</v>
      </c>
      <c r="M239" s="310">
        <f t="shared" si="202"/>
        <v>3.8271428571428574E-2</v>
      </c>
      <c r="N239" s="310">
        <f t="shared" si="202"/>
        <v>3.8657142857142862E-2</v>
      </c>
      <c r="O239" s="310">
        <f t="shared" si="202"/>
        <v>3.904285714285715E-2</v>
      </c>
      <c r="P239" s="310">
        <f t="shared" si="202"/>
        <v>3.9428571428571438E-2</v>
      </c>
      <c r="Q239" s="310">
        <f t="shared" si="202"/>
        <v>3.9814285714285726E-2</v>
      </c>
      <c r="R239" s="310">
        <f t="shared" si="202"/>
        <v>4.02E-2</v>
      </c>
      <c r="S239" s="310">
        <f>$L239</f>
        <v>3.7885714285714286E-2</v>
      </c>
      <c r="T239" s="310">
        <f>$L239</f>
        <v>3.7885714285714286E-2</v>
      </c>
    </row>
    <row r="240" spans="1:20" x14ac:dyDescent="0.3">
      <c r="B240" s="353" t="s">
        <v>297</v>
      </c>
      <c r="K240" s="325">
        <f ca="1">AVERAGE(K235,K237)*K239</f>
        <v>29.913091350510399</v>
      </c>
      <c r="L240" s="325">
        <f t="shared" ref="L240:R240" ca="1" si="203">AVERAGE(L235,L237)*L239</f>
        <v>22.081023147258524</v>
      </c>
      <c r="M240" s="325">
        <f t="shared" ca="1" si="203"/>
        <v>5.7407142857143034</v>
      </c>
      <c r="N240" s="325">
        <f t="shared" ca="1" si="203"/>
        <v>5.7985714285714289</v>
      </c>
      <c r="O240" s="325">
        <f t="shared" ca="1" si="203"/>
        <v>5.8564285714285722</v>
      </c>
      <c r="P240" s="325">
        <f t="shared" ca="1" si="203"/>
        <v>5.9142857142857155</v>
      </c>
      <c r="Q240" s="325">
        <f t="shared" ca="1" si="203"/>
        <v>5.9721428571428588</v>
      </c>
      <c r="R240" s="325">
        <f t="shared" ca="1" si="203"/>
        <v>6.03</v>
      </c>
      <c r="S240" s="325">
        <f ca="1">AVERAGE(S235,S237)*S239*S6</f>
        <v>10.175510711373155</v>
      </c>
      <c r="T240" s="325">
        <f ca="1">AVERAGE(T235,T237)*T239*T6</f>
        <v>18.227907630818457</v>
      </c>
    </row>
    <row r="241" spans="1:20" x14ac:dyDescent="0.3">
      <c r="B241" s="353"/>
    </row>
    <row r="242" spans="1:20" x14ac:dyDescent="0.3">
      <c r="B242" s="353"/>
    </row>
    <row r="243" spans="1:20" x14ac:dyDescent="0.3">
      <c r="B243" s="353"/>
    </row>
    <row r="244" spans="1:20" ht="18" x14ac:dyDescent="0.35">
      <c r="A244" s="279" t="s">
        <v>120</v>
      </c>
      <c r="B244" s="326" t="s">
        <v>298</v>
      </c>
      <c r="C244" s="282"/>
      <c r="D244" s="282"/>
      <c r="E244" s="282"/>
      <c r="F244" s="282"/>
      <c r="G244" s="282"/>
      <c r="H244" s="282"/>
      <c r="I244" s="282"/>
      <c r="J244" s="282"/>
      <c r="K244" s="282"/>
      <c r="L244" s="282"/>
      <c r="M244" s="282"/>
      <c r="N244" s="282"/>
      <c r="O244" s="282"/>
      <c r="P244" s="282"/>
      <c r="Q244" s="282"/>
      <c r="R244" s="282"/>
      <c r="S244" s="282"/>
      <c r="T244" s="282"/>
    </row>
    <row r="246" spans="1:20" ht="15" thickBot="1" x14ac:dyDescent="0.35">
      <c r="B246" s="283" t="s">
        <v>2</v>
      </c>
      <c r="K246" s="43">
        <v>2025</v>
      </c>
      <c r="L246" s="43">
        <f t="shared" ref="L246" si="204">K246+1</f>
        <v>2026</v>
      </c>
      <c r="M246" s="43">
        <f t="shared" ref="M246" si="205">L246+1</f>
        <v>2027</v>
      </c>
      <c r="N246" s="43">
        <f t="shared" ref="N246" si="206">M246+1</f>
        <v>2028</v>
      </c>
      <c r="O246" s="43">
        <f t="shared" ref="O246" si="207">N246+1</f>
        <v>2029</v>
      </c>
      <c r="P246" s="43">
        <f t="shared" ref="P246" si="208">O246+1</f>
        <v>2030</v>
      </c>
      <c r="Q246" s="43">
        <f t="shared" ref="Q246" si="209">P246+1</f>
        <v>2031</v>
      </c>
      <c r="R246" s="43">
        <f>Q246+1</f>
        <v>2032</v>
      </c>
      <c r="S246" s="43">
        <f>S10</f>
        <v>2026</v>
      </c>
      <c r="T246" s="43">
        <f>T10</f>
        <v>2026</v>
      </c>
    </row>
    <row r="248" spans="1:20" x14ac:dyDescent="0.3">
      <c r="B248" s="291" t="s">
        <v>299</v>
      </c>
    </row>
    <row r="249" spans="1:20" x14ac:dyDescent="0.3">
      <c r="B249" s="258" t="s">
        <v>300</v>
      </c>
      <c r="K249" s="226">
        <f>K171</f>
        <v>-3.333333333333333</v>
      </c>
      <c r="L249" s="226">
        <f>T249</f>
        <v>-1206.5666666666668</v>
      </c>
      <c r="M249" s="226">
        <f t="shared" ref="M249:T249" si="210">M171</f>
        <v>0</v>
      </c>
      <c r="N249" s="226">
        <f t="shared" si="210"/>
        <v>0</v>
      </c>
      <c r="O249" s="226">
        <f t="shared" si="210"/>
        <v>0</v>
      </c>
      <c r="P249" s="226">
        <f t="shared" si="210"/>
        <v>0</v>
      </c>
      <c r="Q249" s="226">
        <f t="shared" si="210"/>
        <v>0</v>
      </c>
      <c r="R249" s="226">
        <f t="shared" si="210"/>
        <v>0</v>
      </c>
      <c r="S249" s="226">
        <f t="shared" si="210"/>
        <v>0</v>
      </c>
      <c r="T249" s="226">
        <f t="shared" si="210"/>
        <v>-1206.5666666666668</v>
      </c>
    </row>
    <row r="250" spans="1:20" x14ac:dyDescent="0.3">
      <c r="B250" s="258" t="s">
        <v>166</v>
      </c>
      <c r="K250" s="285">
        <v>0</v>
      </c>
      <c r="L250" s="226">
        <f ca="1">T250</f>
        <v>0</v>
      </c>
      <c r="M250" s="226">
        <f t="shared" ref="M250:S250" ca="1" si="211">M192</f>
        <v>205.03105543407014</v>
      </c>
      <c r="N250" s="226">
        <f t="shared" ca="1" si="211"/>
        <v>137.13272874334507</v>
      </c>
      <c r="O250" s="226">
        <f t="shared" ca="1" si="211"/>
        <v>16.178322059254697</v>
      </c>
      <c r="P250" s="226">
        <f t="shared" ca="1" si="211"/>
        <v>-117.74182609950424</v>
      </c>
      <c r="Q250" s="226">
        <f t="shared" ca="1" si="211"/>
        <v>-240.60028013716567</v>
      </c>
      <c r="R250" s="226">
        <f t="shared" ca="1" si="211"/>
        <v>0</v>
      </c>
      <c r="S250" s="226">
        <f t="shared" si="211"/>
        <v>0</v>
      </c>
      <c r="T250" s="226">
        <f ca="1">T192+T191</f>
        <v>0</v>
      </c>
    </row>
    <row r="251" spans="1:20" x14ac:dyDescent="0.3">
      <c r="B251" s="258" t="s">
        <v>76</v>
      </c>
      <c r="K251" s="285">
        <v>0</v>
      </c>
      <c r="L251" s="226">
        <f ca="1">T251</f>
        <v>4877.194046040363</v>
      </c>
      <c r="M251" s="226">
        <f ca="1">SUM(M220:M221)</f>
        <v>-550</v>
      </c>
      <c r="N251" s="226">
        <f t="shared" ref="N251:S251" ca="1" si="212">SUM(N220:N221)</f>
        <v>-550</v>
      </c>
      <c r="O251" s="226">
        <f t="shared" ca="1" si="212"/>
        <v>-550</v>
      </c>
      <c r="P251" s="226">
        <f t="shared" ca="1" si="212"/>
        <v>-550</v>
      </c>
      <c r="Q251" s="226">
        <f t="shared" ca="1" si="212"/>
        <v>-574.43835918359332</v>
      </c>
      <c r="R251" s="226">
        <f t="shared" ca="1" si="212"/>
        <v>-970.89943790700681</v>
      </c>
      <c r="S251" s="226">
        <f t="shared" si="212"/>
        <v>0</v>
      </c>
      <c r="T251" s="226">
        <f ca="1">SUM(T219:T221)</f>
        <v>4877.194046040363</v>
      </c>
    </row>
    <row r="252" spans="1:20" x14ac:dyDescent="0.3">
      <c r="B252" s="291" t="s">
        <v>301</v>
      </c>
      <c r="K252" s="325">
        <f>SUM(K249:K251)</f>
        <v>-3.333333333333333</v>
      </c>
      <c r="L252" s="325">
        <f ca="1">SUM(L249:L251)</f>
        <v>3670.6273793736964</v>
      </c>
      <c r="M252" s="325">
        <f t="shared" ref="M252:R252" ca="1" si="213">SUM(M249:M251)</f>
        <v>-344.96894456592986</v>
      </c>
      <c r="N252" s="325">
        <f t="shared" ca="1" si="213"/>
        <v>-412.86727125665493</v>
      </c>
      <c r="O252" s="325">
        <f ca="1">SUM(O249:O251)</f>
        <v>-533.8216779407453</v>
      </c>
      <c r="P252" s="325">
        <f t="shared" ca="1" si="213"/>
        <v>-667.74182609950424</v>
      </c>
      <c r="Q252" s="325">
        <f t="shared" ca="1" si="213"/>
        <v>-815.03863932075899</v>
      </c>
      <c r="R252" s="325">
        <f t="shared" ca="1" si="213"/>
        <v>-970.89943790700681</v>
      </c>
      <c r="S252" s="325">
        <f>SUM(S249:S251)</f>
        <v>0</v>
      </c>
      <c r="T252" s="325">
        <f t="shared" ref="T252" ca="1" si="214">SUM(T249:T251)</f>
        <v>3670.6273793736964</v>
      </c>
    </row>
    <row r="253" spans="1:20" x14ac:dyDescent="0.3">
      <c r="B253" s="291"/>
      <c r="K253" s="226"/>
      <c r="L253" s="226"/>
      <c r="M253" s="226"/>
      <c r="N253" s="226"/>
      <c r="O253" s="226"/>
      <c r="P253" s="226"/>
      <c r="Q253" s="226"/>
      <c r="R253" s="226"/>
      <c r="S253" s="226"/>
      <c r="T253" s="226"/>
    </row>
    <row r="254" spans="1:20" x14ac:dyDescent="0.3">
      <c r="B254" s="291" t="s">
        <v>302</v>
      </c>
      <c r="K254" s="226"/>
      <c r="L254" s="226"/>
      <c r="M254" s="226"/>
      <c r="N254" s="226"/>
      <c r="O254" s="226"/>
      <c r="P254" s="226"/>
      <c r="Q254" s="226"/>
      <c r="R254" s="226"/>
      <c r="S254" s="226"/>
      <c r="T254" s="226"/>
    </row>
    <row r="255" spans="1:20" x14ac:dyDescent="0.3">
      <c r="B255" s="258" t="s">
        <v>300</v>
      </c>
      <c r="K255" s="226">
        <f>K172</f>
        <v>1206.5666666666668</v>
      </c>
      <c r="L255" s="226">
        <f>L172</f>
        <v>0</v>
      </c>
      <c r="M255" s="226">
        <f t="shared" ref="M255:T255" si="215">M172</f>
        <v>0</v>
      </c>
      <c r="N255" s="226">
        <f t="shared" si="215"/>
        <v>0</v>
      </c>
      <c r="O255" s="226">
        <f t="shared" si="215"/>
        <v>0</v>
      </c>
      <c r="P255" s="226">
        <f t="shared" si="215"/>
        <v>0</v>
      </c>
      <c r="Q255" s="226">
        <f t="shared" si="215"/>
        <v>0</v>
      </c>
      <c r="R255" s="226">
        <f t="shared" si="215"/>
        <v>0</v>
      </c>
      <c r="S255" s="226">
        <f t="shared" si="215"/>
        <v>1206.5666666666668</v>
      </c>
      <c r="T255" s="226">
        <f t="shared" si="215"/>
        <v>0</v>
      </c>
    </row>
    <row r="256" spans="1:20" x14ac:dyDescent="0.3">
      <c r="B256" s="258" t="s">
        <v>166</v>
      </c>
      <c r="K256" s="285">
        <v>0</v>
      </c>
      <c r="L256" s="226">
        <f ca="1">L193</f>
        <v>0</v>
      </c>
      <c r="M256" s="226">
        <f t="shared" ref="M256:T256" ca="1" si="216">M193</f>
        <v>205.03105543407014</v>
      </c>
      <c r="N256" s="226">
        <f t="shared" ca="1" si="216"/>
        <v>342.16378417741521</v>
      </c>
      <c r="O256" s="226">
        <f t="shared" ca="1" si="216"/>
        <v>358.34210623666991</v>
      </c>
      <c r="P256" s="226">
        <f t="shared" ca="1" si="216"/>
        <v>240.60028013716567</v>
      </c>
      <c r="Q256" s="226">
        <f t="shared" ca="1" si="216"/>
        <v>0</v>
      </c>
      <c r="R256" s="226">
        <f t="shared" ca="1" si="216"/>
        <v>0</v>
      </c>
      <c r="S256" s="226">
        <f t="shared" si="216"/>
        <v>0</v>
      </c>
      <c r="T256" s="226">
        <f t="shared" ca="1" si="216"/>
        <v>0</v>
      </c>
    </row>
    <row r="257" spans="1:20" x14ac:dyDescent="0.3">
      <c r="B257" s="258" t="s">
        <v>76</v>
      </c>
      <c r="K257" s="285">
        <v>0</v>
      </c>
      <c r="L257" s="226">
        <f ca="1">L222</f>
        <v>4877.194046040363</v>
      </c>
      <c r="M257" s="226">
        <f t="shared" ref="M257:T257" ca="1" si="217">M222</f>
        <v>4327.194046040363</v>
      </c>
      <c r="N257" s="226">
        <f t="shared" ca="1" si="217"/>
        <v>3777.194046040363</v>
      </c>
      <c r="O257" s="226">
        <f t="shared" ca="1" si="217"/>
        <v>3227.194046040363</v>
      </c>
      <c r="P257" s="226">
        <f t="shared" ca="1" si="217"/>
        <v>2677.194046040363</v>
      </c>
      <c r="Q257" s="226">
        <f t="shared" ca="1" si="217"/>
        <v>2102.7556868567699</v>
      </c>
      <c r="R257" s="226">
        <f t="shared" ca="1" si="217"/>
        <v>1131.8562489497631</v>
      </c>
      <c r="S257" s="226">
        <f t="shared" si="217"/>
        <v>0</v>
      </c>
      <c r="T257" s="226">
        <f t="shared" ca="1" si="217"/>
        <v>4877.194046040363</v>
      </c>
    </row>
    <row r="258" spans="1:20" x14ac:dyDescent="0.3">
      <c r="B258" s="291" t="s">
        <v>303</v>
      </c>
      <c r="K258" s="325">
        <f>SUM(K255:K257)</f>
        <v>1206.5666666666668</v>
      </c>
      <c r="L258" s="325">
        <f t="shared" ref="L258:T258" ca="1" si="218">SUM(L255:L257)</f>
        <v>4877.194046040363</v>
      </c>
      <c r="M258" s="325">
        <f t="shared" ca="1" si="218"/>
        <v>4532.2251014744334</v>
      </c>
      <c r="N258" s="325">
        <f t="shared" ca="1" si="218"/>
        <v>4119.3578302177784</v>
      </c>
      <c r="O258" s="325">
        <f t="shared" ca="1" si="218"/>
        <v>3585.5361522770327</v>
      </c>
      <c r="P258" s="325">
        <f t="shared" ca="1" si="218"/>
        <v>2917.7943261775285</v>
      </c>
      <c r="Q258" s="325">
        <f t="shared" ca="1" si="218"/>
        <v>2102.7556868567699</v>
      </c>
      <c r="R258" s="325">
        <f t="shared" ca="1" si="218"/>
        <v>1131.8562489497631</v>
      </c>
      <c r="S258" s="325">
        <f t="shared" si="218"/>
        <v>1206.5666666666668</v>
      </c>
      <c r="T258" s="325">
        <f t="shared" ca="1" si="218"/>
        <v>4877.194046040363</v>
      </c>
    </row>
    <row r="259" spans="1:20" x14ac:dyDescent="0.3">
      <c r="B259" s="291"/>
      <c r="K259" s="226"/>
      <c r="L259" s="226"/>
      <c r="M259" s="226"/>
      <c r="N259" s="226"/>
      <c r="O259" s="226"/>
      <c r="P259" s="226"/>
      <c r="Q259" s="226"/>
      <c r="R259" s="226"/>
      <c r="S259" s="226"/>
      <c r="T259" s="226"/>
    </row>
    <row r="260" spans="1:20" x14ac:dyDescent="0.3">
      <c r="B260" s="291" t="s">
        <v>304</v>
      </c>
      <c r="K260" s="226"/>
      <c r="L260" s="226"/>
      <c r="M260" s="226"/>
      <c r="N260" s="226"/>
      <c r="O260" s="226"/>
      <c r="P260" s="226"/>
      <c r="Q260" s="226"/>
      <c r="R260" s="226"/>
      <c r="S260" s="226"/>
      <c r="T260" s="226"/>
    </row>
    <row r="261" spans="1:20" x14ac:dyDescent="0.3">
      <c r="B261" s="258" t="s">
        <v>300</v>
      </c>
      <c r="K261" s="226">
        <f>K176</f>
        <v>48.329333333333345</v>
      </c>
      <c r="L261" s="226">
        <f t="shared" ref="L261:T261" si="219">L176</f>
        <v>12.065666666666669</v>
      </c>
      <c r="M261" s="226">
        <f t="shared" si="219"/>
        <v>0</v>
      </c>
      <c r="N261" s="226">
        <f t="shared" si="219"/>
        <v>0</v>
      </c>
      <c r="O261" s="226">
        <f t="shared" si="219"/>
        <v>0</v>
      </c>
      <c r="P261" s="226">
        <f t="shared" si="219"/>
        <v>0</v>
      </c>
      <c r="Q261" s="226">
        <f t="shared" si="219"/>
        <v>0</v>
      </c>
      <c r="R261" s="226">
        <f t="shared" si="219"/>
        <v>0</v>
      </c>
      <c r="S261" s="226">
        <f t="shared" si="219"/>
        <v>12.065666666666669</v>
      </c>
      <c r="T261" s="226">
        <f t="shared" si="219"/>
        <v>0</v>
      </c>
    </row>
    <row r="262" spans="1:20" x14ac:dyDescent="0.3">
      <c r="B262" s="258" t="s">
        <v>166</v>
      </c>
      <c r="K262" s="285">
        <v>0</v>
      </c>
      <c r="L262" s="226">
        <f ca="1">SUM(L198,L206)</f>
        <v>17.0625</v>
      </c>
      <c r="M262" s="226">
        <f t="shared" ref="M262:T262" ca="1" si="220">SUM(M198,M206)</f>
        <v>3.7930745255302982</v>
      </c>
      <c r="N262" s="226">
        <f t="shared" ca="1" si="220"/>
        <v>9.4391109832981233</v>
      </c>
      <c r="O262" s="226">
        <f t="shared" ca="1" si="220"/>
        <v>11.208094246625363</v>
      </c>
      <c r="P262" s="226">
        <f t="shared" ca="1" si="220"/>
        <v>8.834400199014075</v>
      </c>
      <c r="Q262" s="226">
        <f t="shared" ca="1" si="220"/>
        <v>3.2481037818517371</v>
      </c>
      <c r="R262" s="226">
        <f t="shared" ca="1" si="220"/>
        <v>0</v>
      </c>
      <c r="S262" s="226">
        <f t="shared" si="220"/>
        <v>0</v>
      </c>
      <c r="T262" s="226">
        <f t="shared" ca="1" si="220"/>
        <v>17.0625</v>
      </c>
    </row>
    <row r="263" spans="1:20" x14ac:dyDescent="0.3">
      <c r="B263" s="258" t="s">
        <v>76</v>
      </c>
      <c r="K263" s="285">
        <v>0</v>
      </c>
      <c r="L263" s="226">
        <f ca="1">L227</f>
        <v>230.89256752439812</v>
      </c>
      <c r="M263" s="226">
        <f t="shared" ref="M263:T263" ca="1" si="221">M227</f>
        <v>186.38885886463473</v>
      </c>
      <c r="N263" s="226">
        <f t="shared" ca="1" si="221"/>
        <v>153.98337374953383</v>
      </c>
      <c r="O263" s="226">
        <f t="shared" ca="1" si="221"/>
        <v>124.3278886344329</v>
      </c>
      <c r="P263" s="226">
        <f t="shared" ca="1" si="221"/>
        <v>97.422403519331979</v>
      </c>
      <c r="Q263" s="226">
        <f t="shared" ca="1" si="221"/>
        <v>72.894233426681282</v>
      </c>
      <c r="R263" s="226">
        <f t="shared" ca="1" si="221"/>
        <v>49.32783202104963</v>
      </c>
      <c r="S263" s="226">
        <f t="shared" si="221"/>
        <v>0</v>
      </c>
      <c r="T263" s="226">
        <f t="shared" ca="1" si="221"/>
        <v>230.89256752439812</v>
      </c>
    </row>
    <row r="264" spans="1:20" x14ac:dyDescent="0.3">
      <c r="B264" s="258" t="s">
        <v>305</v>
      </c>
      <c r="K264" s="286">
        <f ca="1">-K240</f>
        <v>-29.913091350510399</v>
      </c>
      <c r="L264" s="286">
        <f ca="1">-L240</f>
        <v>-22.081023147258524</v>
      </c>
      <c r="M264" s="286">
        <f t="shared" ref="M264:T264" ca="1" si="222">-M240</f>
        <v>-5.7407142857143034</v>
      </c>
      <c r="N264" s="286">
        <f t="shared" ca="1" si="222"/>
        <v>-5.7985714285714289</v>
      </c>
      <c r="O264" s="286">
        <f t="shared" ca="1" si="222"/>
        <v>-5.8564285714285722</v>
      </c>
      <c r="P264" s="286">
        <f t="shared" ca="1" si="222"/>
        <v>-5.9142857142857155</v>
      </c>
      <c r="Q264" s="286">
        <f t="shared" ca="1" si="222"/>
        <v>-5.9721428571428588</v>
      </c>
      <c r="R264" s="286">
        <f t="shared" ca="1" si="222"/>
        <v>-6.03</v>
      </c>
      <c r="S264" s="286">
        <f t="shared" ca="1" si="222"/>
        <v>-10.175510711373155</v>
      </c>
      <c r="T264" s="286">
        <f t="shared" ca="1" si="222"/>
        <v>-18.227907630818457</v>
      </c>
    </row>
    <row r="265" spans="1:20" x14ac:dyDescent="0.3">
      <c r="B265" s="291" t="s">
        <v>306</v>
      </c>
      <c r="K265" s="325">
        <f ca="1">SUM(K261:K264)</f>
        <v>18.416241982822946</v>
      </c>
      <c r="L265" s="325">
        <f t="shared" ref="L265:T265" ca="1" si="223">SUM(L261:L264)</f>
        <v>237.93971104380626</v>
      </c>
      <c r="M265" s="325">
        <f t="shared" ca="1" si="223"/>
        <v>184.44121910445074</v>
      </c>
      <c r="N265" s="325">
        <f t="shared" ca="1" si="223"/>
        <v>157.62391330426053</v>
      </c>
      <c r="O265" s="325">
        <f t="shared" ca="1" si="223"/>
        <v>129.67955430962968</v>
      </c>
      <c r="P265" s="325">
        <f t="shared" ca="1" si="223"/>
        <v>100.34251800406034</v>
      </c>
      <c r="Q265" s="325">
        <f t="shared" ca="1" si="223"/>
        <v>70.170194351390165</v>
      </c>
      <c r="R265" s="325">
        <f t="shared" ca="1" si="223"/>
        <v>43.297832021049629</v>
      </c>
      <c r="S265" s="325">
        <f t="shared" ca="1" si="223"/>
        <v>1.8901559552935137</v>
      </c>
      <c r="T265" s="325">
        <f t="shared" ca="1" si="223"/>
        <v>229.72715989357965</v>
      </c>
    </row>
    <row r="268" spans="1:20" ht="18" x14ac:dyDescent="0.35">
      <c r="A268" s="279" t="s">
        <v>120</v>
      </c>
      <c r="B268" s="326" t="s">
        <v>307</v>
      </c>
      <c r="C268" s="282"/>
      <c r="D268" s="282"/>
      <c r="E268" s="282"/>
      <c r="F268" s="282"/>
      <c r="G268" s="282"/>
      <c r="H268" s="282"/>
      <c r="I268" s="282"/>
      <c r="J268" s="282"/>
      <c r="K268" s="282"/>
      <c r="L268" s="282"/>
      <c r="M268" s="282"/>
      <c r="N268" s="282"/>
      <c r="O268" s="282"/>
      <c r="P268" s="282"/>
      <c r="Q268" s="282"/>
      <c r="R268" s="282"/>
      <c r="S268" s="282"/>
      <c r="T268" s="282"/>
    </row>
    <row r="270" spans="1:20" ht="15" thickBot="1" x14ac:dyDescent="0.35">
      <c r="B270" s="283" t="s">
        <v>2</v>
      </c>
      <c r="K270" s="43">
        <v>2025</v>
      </c>
      <c r="L270" s="233">
        <f t="shared" ref="L270" si="224">K270+1</f>
        <v>2026</v>
      </c>
      <c r="M270" s="43">
        <f t="shared" ref="M270" si="225">L270+1</f>
        <v>2027</v>
      </c>
      <c r="N270" s="43">
        <f t="shared" ref="N270" si="226">M270+1</f>
        <v>2028</v>
      </c>
      <c r="O270" s="43">
        <f t="shared" ref="O270" si="227">N270+1</f>
        <v>2029</v>
      </c>
      <c r="P270" s="43">
        <f t="shared" ref="P270" si="228">O270+1</f>
        <v>2030</v>
      </c>
      <c r="Q270" s="43">
        <f t="shared" ref="Q270" si="229">P270+1</f>
        <v>2031</v>
      </c>
      <c r="R270" s="43">
        <f>Q270+1</f>
        <v>2032</v>
      </c>
      <c r="S270" s="43">
        <f>S10</f>
        <v>2026</v>
      </c>
      <c r="T270" s="43">
        <f>T10</f>
        <v>2026</v>
      </c>
    </row>
    <row r="271" spans="1:20" x14ac:dyDescent="0.3">
      <c r="B271" s="283"/>
      <c r="K271" s="200"/>
      <c r="L271" s="200"/>
      <c r="M271" s="200"/>
      <c r="N271" s="200"/>
      <c r="O271" s="200"/>
      <c r="P271" s="200"/>
      <c r="Q271" s="200"/>
      <c r="R271" s="200"/>
    </row>
    <row r="272" spans="1:20" ht="15.6" x14ac:dyDescent="0.3">
      <c r="B272" s="385" t="s">
        <v>308</v>
      </c>
    </row>
    <row r="273" spans="1:20" x14ac:dyDescent="0.3">
      <c r="B273" s="258" t="s">
        <v>309</v>
      </c>
      <c r="H273" s="315"/>
      <c r="K273" s="226"/>
      <c r="L273" s="226">
        <f>T273</f>
        <v>11202.447409999999</v>
      </c>
      <c r="M273" s="226">
        <f ca="1">M307</f>
        <v>8480.6916000291749</v>
      </c>
      <c r="N273" s="226">
        <f t="shared" ref="N273:R273" ca="1" si="230">N307</f>
        <v>10554.303223575786</v>
      </c>
      <c r="O273" s="226">
        <f t="shared" ca="1" si="230"/>
        <v>13159.100597367342</v>
      </c>
      <c r="P273" s="226">
        <f t="shared" ca="1" si="230"/>
        <v>16067.4149444092</v>
      </c>
      <c r="Q273" s="226">
        <f t="shared" ca="1" si="230"/>
        <v>19285.305904861136</v>
      </c>
      <c r="R273" s="226">
        <f t="shared" ca="1" si="230"/>
        <v>22809.795687813254</v>
      </c>
      <c r="S273" s="423" t="s">
        <v>119</v>
      </c>
      <c r="T273" s="227">
        <f>'Transaction Details'!O8</f>
        <v>11202.447409999999</v>
      </c>
    </row>
    <row r="274" spans="1:20" x14ac:dyDescent="0.3">
      <c r="B274" s="258" t="s">
        <v>225</v>
      </c>
      <c r="K274" s="286"/>
      <c r="L274" s="286">
        <f t="shared" ref="L274:S274" si="231">-L85</f>
        <v>181.74591757673991</v>
      </c>
      <c r="M274" s="286">
        <f t="shared" si="231"/>
        <v>193.46389790662261</v>
      </c>
      <c r="N274" s="286">
        <f t="shared" si="231"/>
        <v>203.99162147045359</v>
      </c>
      <c r="O274" s="286">
        <f t="shared" si="231"/>
        <v>212.97595685594493</v>
      </c>
      <c r="P274" s="286">
        <f t="shared" si="231"/>
        <v>220.06214175437549</v>
      </c>
      <c r="Q274" s="286">
        <f t="shared" si="231"/>
        <v>224.90530775777216</v>
      </c>
      <c r="R274" s="286">
        <f t="shared" si="231"/>
        <v>227.18291411484384</v>
      </c>
      <c r="S274" s="286">
        <f t="shared" si="231"/>
        <v>45.436479394184978</v>
      </c>
      <c r="T274" s="286">
        <f>-T85</f>
        <v>136.30943818255494</v>
      </c>
    </row>
    <row r="275" spans="1:20" x14ac:dyDescent="0.3">
      <c r="B275" s="258" t="s">
        <v>310</v>
      </c>
      <c r="K275" s="386"/>
      <c r="L275" s="407">
        <f>T275</f>
        <v>0.98783217334625673</v>
      </c>
      <c r="M275" s="407">
        <f t="shared" ref="M275:R275" ca="1" si="232">L275-(M274/M273)</f>
        <v>0.96501989493420393</v>
      </c>
      <c r="N275" s="407">
        <f t="shared" ca="1" si="232"/>
        <v>0.94569207980996295</v>
      </c>
      <c r="O275" s="407">
        <f t="shared" ca="1" si="232"/>
        <v>0.92950739034125007</v>
      </c>
      <c r="P275" s="407">
        <f t="shared" ca="1" si="232"/>
        <v>0.91581121441526836</v>
      </c>
      <c r="Q275" s="407">
        <f t="shared" ca="1" si="232"/>
        <v>0.90414921077025068</v>
      </c>
      <c r="R275" s="407">
        <f t="shared" ca="1" si="232"/>
        <v>0.89418932698943177</v>
      </c>
      <c r="S275" s="408">
        <v>1</v>
      </c>
      <c r="T275" s="407">
        <f>S275-(T274/T273)</f>
        <v>0.98783217334625673</v>
      </c>
    </row>
    <row r="276" spans="1:20" x14ac:dyDescent="0.3">
      <c r="K276" s="386"/>
      <c r="L276" s="387"/>
      <c r="M276" s="387"/>
      <c r="N276" s="387"/>
      <c r="O276" s="387"/>
      <c r="P276" s="387"/>
      <c r="Q276" s="387"/>
      <c r="R276" s="387"/>
    </row>
    <row r="277" spans="1:20" ht="15.6" x14ac:dyDescent="0.3">
      <c r="B277" s="385" t="s">
        <v>311</v>
      </c>
      <c r="K277" s="386"/>
      <c r="L277" s="387"/>
      <c r="M277" s="387"/>
      <c r="N277" s="387"/>
      <c r="O277" s="387"/>
      <c r="P277" s="387"/>
      <c r="Q277" s="387"/>
      <c r="R277" s="387"/>
    </row>
    <row r="278" spans="1:20" x14ac:dyDescent="0.3">
      <c r="B278" s="258" t="s">
        <v>312</v>
      </c>
      <c r="K278" s="386"/>
      <c r="L278" s="226">
        <f>T278</f>
        <v>6845.8329285833333</v>
      </c>
      <c r="M278" s="226">
        <f>L280</f>
        <v>6982.1423667658883</v>
      </c>
      <c r="N278" s="226">
        <f t="shared" ref="N278:R278" si="233">M280</f>
        <v>7175.6062646725113</v>
      </c>
      <c r="O278" s="226">
        <f t="shared" si="233"/>
        <v>7379.5978861429649</v>
      </c>
      <c r="P278" s="226">
        <f t="shared" si="233"/>
        <v>7592.5738429989096</v>
      </c>
      <c r="Q278" s="226">
        <f t="shared" si="233"/>
        <v>7812.6359847532849</v>
      </c>
      <c r="R278" s="226">
        <f t="shared" si="233"/>
        <v>8037.5412925110568</v>
      </c>
      <c r="S278" s="285">
        <v>0</v>
      </c>
      <c r="T278" s="227">
        <f>SUM('Transaction Details'!G10:G12)</f>
        <v>6845.8329285833333</v>
      </c>
    </row>
    <row r="279" spans="1:20" x14ac:dyDescent="0.3">
      <c r="B279" s="258" t="s">
        <v>313</v>
      </c>
      <c r="K279" s="386"/>
      <c r="L279" s="226">
        <f t="shared" ref="L279:L280" si="234">T279</f>
        <v>136.30943818255494</v>
      </c>
      <c r="M279" s="226">
        <f>M274</f>
        <v>193.46389790662261</v>
      </c>
      <c r="N279" s="226">
        <f t="shared" ref="N279:R279" si="235">N274</f>
        <v>203.99162147045359</v>
      </c>
      <c r="O279" s="226">
        <f t="shared" si="235"/>
        <v>212.97595685594493</v>
      </c>
      <c r="P279" s="226">
        <f t="shared" si="235"/>
        <v>220.06214175437549</v>
      </c>
      <c r="Q279" s="226">
        <f t="shared" si="235"/>
        <v>224.90530775777216</v>
      </c>
      <c r="R279" s="226">
        <f t="shared" si="235"/>
        <v>227.18291411484384</v>
      </c>
      <c r="S279" s="285">
        <v>0</v>
      </c>
      <c r="T279" s="226">
        <f>T274</f>
        <v>136.30943818255494</v>
      </c>
    </row>
    <row r="280" spans="1:20" x14ac:dyDescent="0.3">
      <c r="B280" s="258" t="s">
        <v>314</v>
      </c>
      <c r="K280" s="386"/>
      <c r="L280" s="226">
        <f t="shared" si="234"/>
        <v>6982.1423667658883</v>
      </c>
      <c r="M280" s="226">
        <f>SUM(M278:M279)</f>
        <v>7175.6062646725113</v>
      </c>
      <c r="N280" s="226">
        <f t="shared" ref="N280:R280" si="236">SUM(N278:N279)</f>
        <v>7379.5978861429649</v>
      </c>
      <c r="O280" s="226">
        <f t="shared" si="236"/>
        <v>7592.5738429989096</v>
      </c>
      <c r="P280" s="226">
        <f t="shared" si="236"/>
        <v>7812.6359847532849</v>
      </c>
      <c r="Q280" s="226">
        <f t="shared" si="236"/>
        <v>8037.5412925110568</v>
      </c>
      <c r="R280" s="226">
        <f t="shared" si="236"/>
        <v>8264.7242066259005</v>
      </c>
      <c r="S280" s="285">
        <v>0</v>
      </c>
      <c r="T280" s="226">
        <f>SUM(T278:T279)</f>
        <v>6982.1423667658883</v>
      </c>
    </row>
    <row r="281" spans="1:20" x14ac:dyDescent="0.3">
      <c r="K281" s="386"/>
      <c r="L281" s="226"/>
      <c r="M281" s="226"/>
      <c r="N281" s="226"/>
      <c r="O281" s="226"/>
      <c r="P281" s="226"/>
      <c r="Q281" s="226"/>
      <c r="R281" s="226"/>
      <c r="S281" s="226"/>
      <c r="T281" s="226"/>
    </row>
    <row r="282" spans="1:20" ht="15.6" x14ac:dyDescent="0.3">
      <c r="B282" s="385" t="s">
        <v>315</v>
      </c>
      <c r="K282" s="386"/>
      <c r="L282" s="226"/>
      <c r="M282" s="226"/>
      <c r="N282" s="226"/>
      <c r="O282" s="226"/>
      <c r="P282" s="226"/>
      <c r="Q282" s="226"/>
      <c r="R282" s="226"/>
      <c r="S282" s="226"/>
      <c r="T282" s="226"/>
    </row>
    <row r="283" spans="1:20" x14ac:dyDescent="0.3">
      <c r="B283" s="258" t="s">
        <v>312</v>
      </c>
      <c r="K283" s="386"/>
      <c r="L283" s="226">
        <f>T283</f>
        <v>-436.81885191666663</v>
      </c>
      <c r="M283" s="226">
        <f ca="1">L285</f>
        <v>-415.73273097120097</v>
      </c>
      <c r="N283" s="226">
        <f t="shared" ref="N283:R283" ca="1" si="237">M285</f>
        <v>-238.08501361449339</v>
      </c>
      <c r="O283" s="226">
        <f t="shared" ca="1" si="237"/>
        <v>6.2379098552365804</v>
      </c>
      <c r="P283" s="226">
        <f t="shared" ca="1" si="237"/>
        <v>347.77060434613344</v>
      </c>
      <c r="Q283" s="226">
        <f t="shared" ca="1" si="237"/>
        <v>797.060206602157</v>
      </c>
      <c r="R283" s="226">
        <f t="shared" ca="1" si="237"/>
        <v>1364.3685936758968</v>
      </c>
      <c r="S283" s="285">
        <v>0</v>
      </c>
      <c r="T283" s="227">
        <f>-'Transaction Details'!O10</f>
        <v>-436.81885191666663</v>
      </c>
    </row>
    <row r="284" spans="1:20" x14ac:dyDescent="0.3">
      <c r="B284" s="258" t="s">
        <v>217</v>
      </c>
      <c r="K284" s="386"/>
      <c r="L284" s="226">
        <f t="shared" ref="L284:L285" ca="1" si="238">T284</f>
        <v>21.086120945465645</v>
      </c>
      <c r="M284" s="226">
        <f ca="1">M83</f>
        <v>177.64771735670757</v>
      </c>
      <c r="N284" s="226">
        <f t="shared" ref="N284:R284" ca="1" si="239">N83</f>
        <v>244.32292346972997</v>
      </c>
      <c r="O284" s="226">
        <f t="shared" ca="1" si="239"/>
        <v>341.53269449089686</v>
      </c>
      <c r="P284" s="226">
        <f t="shared" ca="1" si="239"/>
        <v>449.2896022560235</v>
      </c>
      <c r="Q284" s="226">
        <f t="shared" ca="1" si="239"/>
        <v>567.30838707373982</v>
      </c>
      <c r="R284" s="226">
        <f t="shared" ca="1" si="239"/>
        <v>692.41689849654665</v>
      </c>
      <c r="S284" s="285">
        <v>0</v>
      </c>
      <c r="T284" s="226">
        <f ca="1">T83</f>
        <v>21.086120945465645</v>
      </c>
    </row>
    <row r="285" spans="1:20" x14ac:dyDescent="0.3">
      <c r="B285" s="258" t="s">
        <v>314</v>
      </c>
      <c r="K285" s="386"/>
      <c r="L285" s="224">
        <f t="shared" ca="1" si="238"/>
        <v>-415.73273097120097</v>
      </c>
      <c r="M285" s="224">
        <f ca="1">SUM(M283:M284)</f>
        <v>-238.08501361449339</v>
      </c>
      <c r="N285" s="224">
        <f t="shared" ref="N285:R285" ca="1" si="240">SUM(N283:N284)</f>
        <v>6.2379098552365804</v>
      </c>
      <c r="O285" s="224">
        <f t="shared" ca="1" si="240"/>
        <v>347.77060434613344</v>
      </c>
      <c r="P285" s="224">
        <f t="shared" ca="1" si="240"/>
        <v>797.060206602157</v>
      </c>
      <c r="Q285" s="224">
        <f t="shared" ca="1" si="240"/>
        <v>1364.3685936758968</v>
      </c>
      <c r="R285" s="224">
        <f t="shared" ca="1" si="240"/>
        <v>2056.7854921724434</v>
      </c>
      <c r="S285" s="302">
        <v>0</v>
      </c>
      <c r="T285" s="224">
        <f ca="1">SUM(T283:T284)</f>
        <v>-415.73273097120097</v>
      </c>
    </row>
    <row r="286" spans="1:20" x14ac:dyDescent="0.3">
      <c r="K286" s="386"/>
      <c r="L286" s="387"/>
      <c r="M286" s="387"/>
      <c r="N286" s="387"/>
      <c r="O286" s="387"/>
      <c r="P286" s="387"/>
      <c r="Q286" s="387"/>
      <c r="R286" s="387"/>
    </row>
    <row r="288" spans="1:20" ht="18" x14ac:dyDescent="0.35">
      <c r="A288" s="279" t="s">
        <v>120</v>
      </c>
      <c r="B288" s="326" t="s">
        <v>316</v>
      </c>
      <c r="C288" s="282"/>
      <c r="D288" s="282"/>
      <c r="E288" s="282"/>
      <c r="F288" s="282"/>
      <c r="G288" s="282"/>
      <c r="H288" s="282"/>
      <c r="I288" s="282"/>
      <c r="J288" s="282"/>
      <c r="K288" s="282"/>
      <c r="L288" s="282"/>
      <c r="M288" s="282"/>
      <c r="N288" s="282"/>
      <c r="O288" s="282"/>
      <c r="P288" s="282"/>
      <c r="Q288" s="282"/>
      <c r="R288" s="282"/>
      <c r="S288" s="282"/>
      <c r="T288" s="282"/>
    </row>
    <row r="290" spans="2:20" ht="15" thickBot="1" x14ac:dyDescent="0.35">
      <c r="B290" s="283" t="s">
        <v>2</v>
      </c>
      <c r="K290" s="201" t="s">
        <v>317</v>
      </c>
      <c r="L290" s="43">
        <v>2026</v>
      </c>
      <c r="M290" s="43">
        <f t="shared" ref="M290" si="241">L290+1</f>
        <v>2027</v>
      </c>
      <c r="N290" s="43">
        <f t="shared" ref="N290" si="242">M290+1</f>
        <v>2028</v>
      </c>
      <c r="O290" s="43">
        <f t="shared" ref="O290" si="243">N290+1</f>
        <v>2029</v>
      </c>
      <c r="P290" s="43">
        <f t="shared" ref="P290" si="244">O290+1</f>
        <v>2030</v>
      </c>
      <c r="Q290" s="43">
        <f t="shared" ref="Q290" si="245">P290+1</f>
        <v>2031</v>
      </c>
      <c r="R290" s="43">
        <f>Q290+1</f>
        <v>2032</v>
      </c>
      <c r="S290" s="43">
        <f>S10</f>
        <v>2026</v>
      </c>
      <c r="T290" s="43">
        <f>T10</f>
        <v>2026</v>
      </c>
    </row>
    <row r="292" spans="2:20" x14ac:dyDescent="0.3">
      <c r="K292" s="388"/>
      <c r="L292" s="389" t="s">
        <v>318</v>
      </c>
      <c r="M292" s="390"/>
      <c r="N292" s="390"/>
      <c r="O292" s="389"/>
      <c r="P292" s="389"/>
      <c r="Q292" s="390"/>
      <c r="R292" s="390"/>
    </row>
    <row r="293" spans="2:20" x14ac:dyDescent="0.3">
      <c r="K293" s="391">
        <f>'Transaction Details'!H24</f>
        <v>46112</v>
      </c>
      <c r="L293" s="392">
        <f t="shared" ref="L293:R293" si="246">L4</f>
        <v>46387</v>
      </c>
      <c r="M293" s="393">
        <f t="shared" si="246"/>
        <v>46752</v>
      </c>
      <c r="N293" s="393">
        <f t="shared" si="246"/>
        <v>47118</v>
      </c>
      <c r="O293" s="393">
        <f t="shared" si="246"/>
        <v>47483</v>
      </c>
      <c r="P293" s="393">
        <f t="shared" si="246"/>
        <v>47848</v>
      </c>
      <c r="Q293" s="393">
        <f t="shared" si="246"/>
        <v>48213</v>
      </c>
      <c r="R293" s="394">
        <f t="shared" si="246"/>
        <v>48579</v>
      </c>
    </row>
    <row r="295" spans="2:20" x14ac:dyDescent="0.3">
      <c r="B295" s="291" t="s">
        <v>319</v>
      </c>
    </row>
    <row r="296" spans="2:20" x14ac:dyDescent="0.3">
      <c r="B296" s="258" t="s">
        <v>14</v>
      </c>
      <c r="L296" s="226">
        <f>L86</f>
        <v>754.83671778913458</v>
      </c>
      <c r="M296" s="226">
        <f>M86</f>
        <v>857.52778010024065</v>
      </c>
      <c r="N296" s="226">
        <f t="shared" ref="N296:R296" si="247">N86</f>
        <v>968.24407025290429</v>
      </c>
      <c r="O296" s="226">
        <f t="shared" si="247"/>
        <v>1106.3091166429583</v>
      </c>
      <c r="P296" s="226">
        <f t="shared" si="247"/>
        <v>1255.6806180391152</v>
      </c>
      <c r="Q296" s="226">
        <f t="shared" si="247"/>
        <v>1415.8707727811936</v>
      </c>
      <c r="R296" s="226">
        <f t="shared" si="247"/>
        <v>1586.1101291175346</v>
      </c>
    </row>
    <row r="297" spans="2:20" x14ac:dyDescent="0.3">
      <c r="B297" s="258" t="s">
        <v>67</v>
      </c>
      <c r="L297" s="395">
        <f>Outputs!$E$8</f>
        <v>15</v>
      </c>
      <c r="M297" s="395">
        <f>Outputs!$E$8</f>
        <v>15</v>
      </c>
      <c r="N297" s="395">
        <f>Outputs!$E$8</f>
        <v>15</v>
      </c>
      <c r="O297" s="395">
        <f>Outputs!$E$8</f>
        <v>15</v>
      </c>
      <c r="P297" s="395">
        <f>Outputs!$E$8</f>
        <v>15</v>
      </c>
      <c r="Q297" s="395">
        <f>Outputs!$E$8</f>
        <v>15</v>
      </c>
      <c r="R297" s="395">
        <f>Outputs!$E$8</f>
        <v>15</v>
      </c>
    </row>
    <row r="298" spans="2:20" x14ac:dyDescent="0.3">
      <c r="B298" s="291" t="s">
        <v>319</v>
      </c>
      <c r="L298" s="224">
        <f>L296*L297</f>
        <v>11322.550766837019</v>
      </c>
      <c r="M298" s="224">
        <f>M296*M297</f>
        <v>12862.916701503609</v>
      </c>
      <c r="N298" s="224">
        <f t="shared" ref="N298:R298" si="248">N296*N297</f>
        <v>14523.661053793565</v>
      </c>
      <c r="O298" s="224">
        <f t="shared" si="248"/>
        <v>16594.636749644375</v>
      </c>
      <c r="P298" s="224">
        <f t="shared" si="248"/>
        <v>18835.209270586729</v>
      </c>
      <c r="Q298" s="224">
        <f t="shared" si="248"/>
        <v>21238.061591717906</v>
      </c>
      <c r="R298" s="224">
        <f t="shared" si="248"/>
        <v>23791.651936763017</v>
      </c>
    </row>
    <row r="300" spans="2:20" x14ac:dyDescent="0.3">
      <c r="B300" s="258" t="s">
        <v>49</v>
      </c>
      <c r="L300" s="226">
        <f ca="1">L258</f>
        <v>4877.194046040363</v>
      </c>
      <c r="M300" s="226">
        <f ca="1">M258</f>
        <v>4532.2251014744334</v>
      </c>
      <c r="N300" s="226">
        <f t="shared" ref="N300:R300" ca="1" si="249">N258</f>
        <v>4119.3578302177784</v>
      </c>
      <c r="O300" s="226">
        <f t="shared" ca="1" si="249"/>
        <v>3585.5361522770327</v>
      </c>
      <c r="P300" s="226">
        <f t="shared" ca="1" si="249"/>
        <v>2917.7943261775285</v>
      </c>
      <c r="Q300" s="226">
        <f t="shared" ca="1" si="249"/>
        <v>2102.7556868567699</v>
      </c>
      <c r="R300" s="226">
        <f t="shared" ca="1" si="249"/>
        <v>1131.8562489497631</v>
      </c>
    </row>
    <row r="301" spans="2:20" x14ac:dyDescent="0.3">
      <c r="B301" s="258" t="s">
        <v>240</v>
      </c>
      <c r="L301" s="226">
        <f ca="1">-L119</f>
        <v>-150.00000000000091</v>
      </c>
      <c r="M301" s="226">
        <f ca="1">-M119</f>
        <v>-150</v>
      </c>
      <c r="N301" s="226">
        <f t="shared" ref="N301:R301" ca="1" si="250">-N119</f>
        <v>-150</v>
      </c>
      <c r="O301" s="226">
        <f t="shared" ca="1" si="250"/>
        <v>-150</v>
      </c>
      <c r="P301" s="226">
        <f t="shared" ca="1" si="250"/>
        <v>-150</v>
      </c>
      <c r="Q301" s="226">
        <f t="shared" ca="1" si="250"/>
        <v>-150</v>
      </c>
      <c r="R301" s="226">
        <f t="shared" ca="1" si="250"/>
        <v>-150</v>
      </c>
    </row>
    <row r="302" spans="2:20" x14ac:dyDescent="0.3">
      <c r="B302" s="291" t="s">
        <v>320</v>
      </c>
      <c r="L302" s="224">
        <f ca="1">SUM(L300:L301)</f>
        <v>4727.1940460403621</v>
      </c>
      <c r="M302" s="224">
        <f ca="1">SUM(M300:M301)</f>
        <v>4382.2251014744334</v>
      </c>
      <c r="N302" s="224">
        <f t="shared" ref="N302:R302" ca="1" si="251">SUM(N300:N301)</f>
        <v>3969.3578302177784</v>
      </c>
      <c r="O302" s="224">
        <f t="shared" ca="1" si="251"/>
        <v>3435.5361522770327</v>
      </c>
      <c r="P302" s="224">
        <f t="shared" ca="1" si="251"/>
        <v>2767.7943261775285</v>
      </c>
      <c r="Q302" s="224">
        <f t="shared" ca="1" si="251"/>
        <v>1952.7556868567699</v>
      </c>
      <c r="R302" s="224">
        <f t="shared" ca="1" si="251"/>
        <v>981.85624894976308</v>
      </c>
    </row>
    <row r="304" spans="2:20" x14ac:dyDescent="0.3">
      <c r="B304" s="291" t="s">
        <v>321</v>
      </c>
    </row>
    <row r="305" spans="2:20" x14ac:dyDescent="0.3">
      <c r="B305" s="258" t="s">
        <v>319</v>
      </c>
      <c r="L305" s="226">
        <f>L298</f>
        <v>11322.550766837019</v>
      </c>
      <c r="M305" s="226">
        <f>M298</f>
        <v>12862.916701503609</v>
      </c>
      <c r="N305" s="226">
        <f t="shared" ref="N305:R305" si="252">N298</f>
        <v>14523.661053793565</v>
      </c>
      <c r="O305" s="226">
        <f t="shared" si="252"/>
        <v>16594.636749644375</v>
      </c>
      <c r="P305" s="226">
        <f t="shared" si="252"/>
        <v>18835.209270586729</v>
      </c>
      <c r="Q305" s="226">
        <f t="shared" si="252"/>
        <v>21238.061591717906</v>
      </c>
      <c r="R305" s="226">
        <f t="shared" si="252"/>
        <v>23791.651936763017</v>
      </c>
    </row>
    <row r="306" spans="2:20" x14ac:dyDescent="0.3">
      <c r="B306" s="258" t="s">
        <v>322</v>
      </c>
      <c r="L306" s="226">
        <f ca="1">-L302</f>
        <v>-4727.1940460403621</v>
      </c>
      <c r="M306" s="226">
        <f ca="1">-M302</f>
        <v>-4382.2251014744334</v>
      </c>
      <c r="N306" s="226">
        <f t="shared" ref="N306:R306" ca="1" si="253">-N302</f>
        <v>-3969.3578302177784</v>
      </c>
      <c r="O306" s="226">
        <f t="shared" ca="1" si="253"/>
        <v>-3435.5361522770327</v>
      </c>
      <c r="P306" s="226">
        <f t="shared" ca="1" si="253"/>
        <v>-2767.7943261775285</v>
      </c>
      <c r="Q306" s="226">
        <f t="shared" ca="1" si="253"/>
        <v>-1952.7556868567699</v>
      </c>
      <c r="R306" s="226">
        <f t="shared" ca="1" si="253"/>
        <v>-981.85624894976308</v>
      </c>
    </row>
    <row r="307" spans="2:20" x14ac:dyDescent="0.3">
      <c r="B307" s="291" t="s">
        <v>321</v>
      </c>
      <c r="L307" s="224">
        <f ca="1">SUM(L305:L306)</f>
        <v>6595.3567207966571</v>
      </c>
      <c r="M307" s="224">
        <f ca="1">SUM(M305:M306)</f>
        <v>8480.6916000291749</v>
      </c>
      <c r="N307" s="224">
        <f t="shared" ref="N307:R307" ca="1" si="254">SUM(N305:N306)</f>
        <v>10554.303223575786</v>
      </c>
      <c r="O307" s="224">
        <f t="shared" ca="1" si="254"/>
        <v>13159.100597367342</v>
      </c>
      <c r="P307" s="224">
        <f t="shared" ca="1" si="254"/>
        <v>16067.4149444092</v>
      </c>
      <c r="Q307" s="224">
        <f t="shared" ca="1" si="254"/>
        <v>19285.305904861136</v>
      </c>
      <c r="R307" s="224">
        <f t="shared" ca="1" si="254"/>
        <v>22809.795687813254</v>
      </c>
    </row>
    <row r="308" spans="2:20" x14ac:dyDescent="0.3">
      <c r="B308" s="291"/>
      <c r="L308" s="224"/>
      <c r="M308" s="224"/>
      <c r="N308" s="224"/>
      <c r="O308" s="224"/>
      <c r="P308" s="224"/>
      <c r="Q308" s="224"/>
      <c r="R308" s="224"/>
    </row>
    <row r="309" spans="2:20" x14ac:dyDescent="0.3">
      <c r="B309" s="258" t="s">
        <v>323</v>
      </c>
      <c r="L309" s="384">
        <f>L275</f>
        <v>0.98783217334625673</v>
      </c>
      <c r="M309" s="384">
        <f ca="1">M275</f>
        <v>0.96501989493420393</v>
      </c>
      <c r="N309" s="384">
        <f t="shared" ref="N309:R309" ca="1" si="255">N275</f>
        <v>0.94569207980996295</v>
      </c>
      <c r="O309" s="384">
        <f t="shared" ca="1" si="255"/>
        <v>0.92950739034125007</v>
      </c>
      <c r="P309" s="384">
        <f t="shared" ca="1" si="255"/>
        <v>0.91581121441526836</v>
      </c>
      <c r="Q309" s="384">
        <f t="shared" ca="1" si="255"/>
        <v>0.90414921077025068</v>
      </c>
      <c r="R309" s="384">
        <f t="shared" ca="1" si="255"/>
        <v>0.89418932698943177</v>
      </c>
    </row>
    <row r="310" spans="2:20" x14ac:dyDescent="0.3">
      <c r="B310" s="291" t="s">
        <v>324</v>
      </c>
      <c r="L310" s="224">
        <f ca="1">L309*L307</f>
        <v>6515.1055634984023</v>
      </c>
      <c r="M310" s="224">
        <f ca="1">M309*M307</f>
        <v>8184.0361168295403</v>
      </c>
      <c r="N310" s="224">
        <f t="shared" ref="N310:R310" ca="1" si="256">N309*N307</f>
        <v>9981.1209664483813</v>
      </c>
      <c r="O310" s="224">
        <f t="shared" ca="1" si="256"/>
        <v>12231.481255496903</v>
      </c>
      <c r="P310" s="224">
        <f t="shared" ca="1" si="256"/>
        <v>14714.718792753421</v>
      </c>
      <c r="Q310" s="224">
        <f t="shared" ca="1" si="256"/>
        <v>17436.79411334305</v>
      </c>
      <c r="R310" s="224">
        <f t="shared" ca="1" si="256"/>
        <v>20396.275854852178</v>
      </c>
    </row>
    <row r="312" spans="2:20" ht="15" thickBot="1" x14ac:dyDescent="0.35">
      <c r="B312" s="396" t="s">
        <v>325</v>
      </c>
      <c r="C312" s="397"/>
      <c r="D312" s="397"/>
      <c r="E312" s="397"/>
      <c r="F312" s="396" t="s">
        <v>65</v>
      </c>
      <c r="G312" s="396" t="s">
        <v>66</v>
      </c>
      <c r="K312" s="396" t="s">
        <v>317</v>
      </c>
      <c r="L312" s="398">
        <v>0</v>
      </c>
      <c r="M312" s="399">
        <v>1</v>
      </c>
      <c r="N312" s="399">
        <f>M312+1</f>
        <v>2</v>
      </c>
      <c r="O312" s="399">
        <f>N312+1</f>
        <v>3</v>
      </c>
      <c r="P312" s="399">
        <f>O312+1</f>
        <v>4</v>
      </c>
      <c r="Q312" s="399">
        <f>P312+1</f>
        <v>5</v>
      </c>
      <c r="R312" s="399">
        <f>Q312+1</f>
        <v>6</v>
      </c>
    </row>
    <row r="313" spans="2:20" x14ac:dyDescent="0.3">
      <c r="B313" s="400">
        <v>6</v>
      </c>
      <c r="F313" s="401">
        <f ca="1">XIRR(K313:R313,$K$293:$R$293)</f>
        <v>0.17529839873313907</v>
      </c>
      <c r="G313" s="402">
        <f ca="1">SUM(L313:R313)/-K313</f>
        <v>2.9793709644434681</v>
      </c>
      <c r="K313" s="403">
        <f>-SUM('Transaction Details'!G10:G12)</f>
        <v>-6845.8329285833333</v>
      </c>
      <c r="L313" s="404">
        <f>IF($B313=L$312,L$310,0)</f>
        <v>0</v>
      </c>
      <c r="M313" s="404">
        <f t="shared" ref="L313:R318" si="257">IF($B313=M$312,M$310,0)</f>
        <v>0</v>
      </c>
      <c r="N313" s="404">
        <f t="shared" si="257"/>
        <v>0</v>
      </c>
      <c r="O313" s="404">
        <f t="shared" si="257"/>
        <v>0</v>
      </c>
      <c r="P313" s="404">
        <f t="shared" si="257"/>
        <v>0</v>
      </c>
      <c r="Q313" s="404">
        <f t="shared" si="257"/>
        <v>0</v>
      </c>
      <c r="R313" s="404">
        <f t="shared" ca="1" si="257"/>
        <v>20396.275854852178</v>
      </c>
      <c r="S313" s="404"/>
      <c r="T313" s="405"/>
    </row>
    <row r="314" spans="2:20" x14ac:dyDescent="0.3">
      <c r="B314" s="406">
        <f>B313-1</f>
        <v>5</v>
      </c>
      <c r="F314" s="401">
        <f t="shared" ref="F314:F318" ca="1" si="258">XIRR(K314:R314,$K$293:$R$293)</f>
        <v>0.17635956406593326</v>
      </c>
      <c r="G314" s="402">
        <f t="shared" ref="G314:G318" ca="1" si="259">SUM(L314:R314)/-K314</f>
        <v>2.5470668500452867</v>
      </c>
      <c r="K314" s="405">
        <f>(K313)</f>
        <v>-6845.8329285833333</v>
      </c>
      <c r="L314" s="404">
        <f t="shared" ref="L314" si="260">IF($B314=L$312,L$310,0)</f>
        <v>0</v>
      </c>
      <c r="M314" s="404">
        <f t="shared" si="257"/>
        <v>0</v>
      </c>
      <c r="N314" s="404">
        <f t="shared" si="257"/>
        <v>0</v>
      </c>
      <c r="O314" s="404">
        <f t="shared" si="257"/>
        <v>0</v>
      </c>
      <c r="P314" s="404">
        <f t="shared" si="257"/>
        <v>0</v>
      </c>
      <c r="Q314" s="404">
        <f t="shared" ca="1" si="257"/>
        <v>17436.79411334305</v>
      </c>
      <c r="R314" s="404"/>
      <c r="S314" s="404"/>
      <c r="T314" s="405"/>
    </row>
    <row r="315" spans="2:20" x14ac:dyDescent="0.3">
      <c r="B315" s="406">
        <f>B314-1</f>
        <v>4</v>
      </c>
      <c r="F315" s="401">
        <f t="shared" ca="1" si="258"/>
        <v>0.17455300688743591</v>
      </c>
      <c r="G315" s="402">
        <f t="shared" ca="1" si="259"/>
        <v>2.1494417036260427</v>
      </c>
      <c r="K315" s="405">
        <f>(K314)</f>
        <v>-6845.8329285833333</v>
      </c>
      <c r="L315" s="404">
        <f t="shared" si="257"/>
        <v>0</v>
      </c>
      <c r="M315" s="404">
        <f t="shared" si="257"/>
        <v>0</v>
      </c>
      <c r="N315" s="404">
        <f t="shared" si="257"/>
        <v>0</v>
      </c>
      <c r="O315" s="404">
        <f t="shared" si="257"/>
        <v>0</v>
      </c>
      <c r="P315" s="404">
        <f t="shared" ca="1" si="257"/>
        <v>14714.718792753421</v>
      </c>
      <c r="Q315" s="405"/>
      <c r="R315" s="404"/>
      <c r="S315" s="404"/>
      <c r="T315" s="405"/>
    </row>
    <row r="316" spans="2:20" x14ac:dyDescent="0.3">
      <c r="B316" s="406">
        <f>B315-1</f>
        <v>3</v>
      </c>
      <c r="F316" s="401">
        <f t="shared" ca="1" si="258"/>
        <v>0.1670884191989899</v>
      </c>
      <c r="G316" s="402">
        <f t="shared" ca="1" si="259"/>
        <v>1.7867046103954611</v>
      </c>
      <c r="K316" s="405">
        <f>(K315)</f>
        <v>-6845.8329285833333</v>
      </c>
      <c r="L316" s="404">
        <f t="shared" si="257"/>
        <v>0</v>
      </c>
      <c r="M316" s="404">
        <f t="shared" si="257"/>
        <v>0</v>
      </c>
      <c r="N316" s="404">
        <f t="shared" si="257"/>
        <v>0</v>
      </c>
      <c r="O316" s="404">
        <f t="shared" ca="1" si="257"/>
        <v>12231.481255496903</v>
      </c>
      <c r="P316" s="404"/>
      <c r="Q316" s="405"/>
      <c r="R316" s="404"/>
      <c r="S316" s="404"/>
      <c r="T316" s="405"/>
    </row>
    <row r="317" spans="2:20" x14ac:dyDescent="0.3">
      <c r="B317" s="406">
        <f>B316-1</f>
        <v>2</v>
      </c>
      <c r="F317" s="401">
        <f t="shared" ca="1" si="258"/>
        <v>0.14660379290580752</v>
      </c>
      <c r="G317" s="402">
        <f t="shared" ca="1" si="259"/>
        <v>1.4579848895777625</v>
      </c>
      <c r="K317" s="405">
        <f>(K316)</f>
        <v>-6845.8329285833333</v>
      </c>
      <c r="L317" s="404">
        <f t="shared" si="257"/>
        <v>0</v>
      </c>
      <c r="M317" s="404">
        <f t="shared" si="257"/>
        <v>0</v>
      </c>
      <c r="N317" s="404">
        <f t="shared" ca="1" si="257"/>
        <v>9981.1209664483813</v>
      </c>
      <c r="O317" s="404"/>
      <c r="P317" s="404"/>
      <c r="Q317" s="405"/>
      <c r="R317" s="404"/>
      <c r="S317" s="404"/>
      <c r="T317" s="405"/>
    </row>
    <row r="318" spans="2:20" x14ac:dyDescent="0.3">
      <c r="B318" s="406">
        <f>B317-1</f>
        <v>1</v>
      </c>
      <c r="F318" s="401">
        <f t="shared" ca="1" si="258"/>
        <v>0.10719148516654969</v>
      </c>
      <c r="G318" s="402">
        <f t="shared" ca="1" si="259"/>
        <v>1.1954770445330065</v>
      </c>
      <c r="K318" s="405">
        <f>(K317)</f>
        <v>-6845.8329285833333</v>
      </c>
      <c r="L318" s="404">
        <f t="shared" si="257"/>
        <v>0</v>
      </c>
      <c r="M318" s="404">
        <f t="shared" ca="1" si="257"/>
        <v>8184.0361168295403</v>
      </c>
      <c r="N318" s="404"/>
      <c r="O318" s="404"/>
      <c r="P318" s="404"/>
      <c r="Q318" s="405"/>
      <c r="R318" s="404"/>
      <c r="S318" s="404"/>
      <c r="T318" s="405"/>
    </row>
    <row r="321" spans="1:20" x14ac:dyDescent="0.3">
      <c r="A321" s="5" t="s">
        <v>340</v>
      </c>
      <c r="B321" s="5" t="s">
        <v>340</v>
      </c>
      <c r="C321" s="5" t="s">
        <v>340</v>
      </c>
      <c r="D321" s="5" t="s">
        <v>340</v>
      </c>
      <c r="E321" s="5" t="s">
        <v>340</v>
      </c>
      <c r="F321" s="5" t="s">
        <v>340</v>
      </c>
      <c r="G321" s="5" t="s">
        <v>340</v>
      </c>
      <c r="H321" s="5" t="s">
        <v>340</v>
      </c>
      <c r="I321" s="5" t="s">
        <v>340</v>
      </c>
      <c r="J321" s="5" t="s">
        <v>340</v>
      </c>
      <c r="K321" s="5" t="s">
        <v>340</v>
      </c>
      <c r="L321" s="5" t="s">
        <v>340</v>
      </c>
      <c r="M321" s="5" t="s">
        <v>340</v>
      </c>
      <c r="N321" s="5" t="s">
        <v>340</v>
      </c>
      <c r="O321" s="5" t="s">
        <v>340</v>
      </c>
      <c r="P321" s="5" t="s">
        <v>340</v>
      </c>
      <c r="Q321" s="5" t="s">
        <v>340</v>
      </c>
      <c r="R321" s="5" t="s">
        <v>340</v>
      </c>
      <c r="S321" s="5" t="s">
        <v>340</v>
      </c>
      <c r="T321" s="5" t="s">
        <v>340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10AF0-B772-4864-818F-463472674246}">
  <sheetPr codeName="Sheet4"/>
  <dimension ref="B1:M173"/>
  <sheetViews>
    <sheetView showGridLines="0" workbookViewId="0">
      <selection activeCell="B2" sqref="B2:M2"/>
    </sheetView>
  </sheetViews>
  <sheetFormatPr defaultRowHeight="14.4" x14ac:dyDescent="0.3"/>
  <cols>
    <col min="1" max="1" width="4.6640625" customWidth="1"/>
    <col min="2" max="2" width="48.33203125" customWidth="1"/>
    <col min="3" max="6" width="16.109375" customWidth="1"/>
    <col min="7" max="7" width="9.88671875" bestFit="1" customWidth="1"/>
  </cols>
  <sheetData>
    <row r="1" spans="2:13" ht="40.200000000000003" customHeight="1" x14ac:dyDescent="0.3">
      <c r="B1" s="455"/>
      <c r="C1" s="455"/>
      <c r="D1" s="455"/>
      <c r="E1" s="455"/>
    </row>
    <row r="2" spans="2:13" ht="30" customHeight="1" x14ac:dyDescent="0.35">
      <c r="B2" s="457" t="s">
        <v>326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2:13" x14ac:dyDescent="0.3">
      <c r="B3" s="45" t="s">
        <v>327</v>
      </c>
    </row>
    <row r="5" spans="2:13" x14ac:dyDescent="0.3">
      <c r="B5" s="45" t="s">
        <v>328</v>
      </c>
      <c r="C5" s="46"/>
    </row>
    <row r="6" spans="2:13" x14ac:dyDescent="0.3">
      <c r="B6" s="45" t="s">
        <v>329</v>
      </c>
      <c r="C6" s="46"/>
    </row>
    <row r="7" spans="2:13" x14ac:dyDescent="0.3">
      <c r="B7" s="45" t="s">
        <v>330</v>
      </c>
      <c r="C7" s="46"/>
    </row>
    <row r="8" spans="2:13" x14ac:dyDescent="0.3">
      <c r="B8" s="45" t="s">
        <v>331</v>
      </c>
      <c r="C8" s="46"/>
    </row>
    <row r="9" spans="2:13" x14ac:dyDescent="0.3">
      <c r="B9" s="45" t="s">
        <v>332</v>
      </c>
      <c r="C9" s="46"/>
    </row>
    <row r="10" spans="2:13" x14ac:dyDescent="0.3">
      <c r="B10" s="45" t="s">
        <v>333</v>
      </c>
      <c r="C10" s="46"/>
    </row>
    <row r="11" spans="2:13" x14ac:dyDescent="0.3">
      <c r="B11" s="45" t="s">
        <v>334</v>
      </c>
      <c r="C11" s="46"/>
    </row>
    <row r="12" spans="2:13" x14ac:dyDescent="0.3">
      <c r="B12" s="456"/>
      <c r="C12" s="456"/>
      <c r="D12" s="456"/>
      <c r="E12" s="456"/>
      <c r="F12" s="456"/>
    </row>
    <row r="13" spans="2:13" x14ac:dyDescent="0.3">
      <c r="B13" s="47" t="s">
        <v>335</v>
      </c>
      <c r="C13" s="62" t="s">
        <v>336</v>
      </c>
      <c r="D13" s="62" t="s">
        <v>337</v>
      </c>
      <c r="E13" s="62" t="s">
        <v>338</v>
      </c>
      <c r="F13" s="62" t="s">
        <v>339</v>
      </c>
    </row>
    <row r="14" spans="2:13" x14ac:dyDescent="0.3">
      <c r="B14" s="45" t="s">
        <v>340</v>
      </c>
      <c r="C14" s="48" t="s">
        <v>341</v>
      </c>
      <c r="D14" s="48" t="s">
        <v>341</v>
      </c>
      <c r="E14" s="48" t="s">
        <v>341</v>
      </c>
      <c r="F14" s="48" t="s">
        <v>341</v>
      </c>
    </row>
    <row r="15" spans="2:13" x14ac:dyDescent="0.3">
      <c r="B15" s="45" t="s">
        <v>342</v>
      </c>
      <c r="C15" s="49">
        <v>45657</v>
      </c>
      <c r="D15" s="49">
        <v>45747</v>
      </c>
      <c r="E15" s="49">
        <v>45838</v>
      </c>
      <c r="F15" s="49">
        <v>45930</v>
      </c>
    </row>
    <row r="16" spans="2:13" x14ac:dyDescent="0.3">
      <c r="B16" s="45" t="s">
        <v>343</v>
      </c>
      <c r="C16" s="49">
        <v>45716</v>
      </c>
      <c r="D16" s="49">
        <v>45784</v>
      </c>
      <c r="E16" s="49">
        <v>45875</v>
      </c>
      <c r="F16" s="49">
        <v>45959</v>
      </c>
    </row>
    <row r="17" spans="2:6" x14ac:dyDescent="0.3">
      <c r="B17" s="45" t="s">
        <v>344</v>
      </c>
      <c r="C17" s="48" t="s">
        <v>345</v>
      </c>
      <c r="D17" s="48" t="s">
        <v>345</v>
      </c>
      <c r="E17" s="48" t="s">
        <v>345</v>
      </c>
      <c r="F17" s="48" t="s">
        <v>345</v>
      </c>
    </row>
    <row r="18" spans="2:6" x14ac:dyDescent="0.3">
      <c r="B18" s="45" t="s">
        <v>340</v>
      </c>
      <c r="C18" s="48"/>
      <c r="D18" s="48"/>
      <c r="E18" s="48"/>
      <c r="F18" s="48"/>
    </row>
    <row r="19" spans="2:6" x14ac:dyDescent="0.3">
      <c r="B19" s="44" t="s">
        <v>346</v>
      </c>
      <c r="C19" s="48"/>
      <c r="D19" s="48"/>
      <c r="E19" s="48"/>
      <c r="F19" s="48"/>
    </row>
    <row r="20" spans="2:6" x14ac:dyDescent="0.3">
      <c r="B20" s="45" t="s">
        <v>347</v>
      </c>
      <c r="C20" s="51">
        <v>579.70000000000005</v>
      </c>
      <c r="D20" s="51">
        <v>557.30000000000007</v>
      </c>
      <c r="E20" s="51">
        <v>625.20000000000005</v>
      </c>
      <c r="F20" s="51">
        <v>627.6</v>
      </c>
    </row>
    <row r="21" spans="2:6" x14ac:dyDescent="0.3">
      <c r="B21" s="45" t="s">
        <v>348</v>
      </c>
      <c r="C21" s="51">
        <v>579.70000000000005</v>
      </c>
      <c r="D21" s="51">
        <v>557.30000000000007</v>
      </c>
      <c r="E21" s="51">
        <v>625.20000000000005</v>
      </c>
      <c r="F21" s="51">
        <v>627.6</v>
      </c>
    </row>
    <row r="22" spans="2:6" x14ac:dyDescent="0.3">
      <c r="B22" s="45" t="s">
        <v>150</v>
      </c>
      <c r="C22" s="51">
        <v>204.1</v>
      </c>
      <c r="D22" s="51">
        <v>220.5</v>
      </c>
      <c r="E22" s="51">
        <v>219.6</v>
      </c>
      <c r="F22" s="51">
        <v>247.9</v>
      </c>
    </row>
    <row r="23" spans="2:6" x14ac:dyDescent="0.3">
      <c r="B23" s="45" t="s">
        <v>349</v>
      </c>
      <c r="C23" s="51">
        <v>60.7</v>
      </c>
      <c r="D23" s="51">
        <v>73.900000000000006</v>
      </c>
      <c r="E23" s="51">
        <v>51.6</v>
      </c>
      <c r="F23" s="51">
        <v>77.2</v>
      </c>
    </row>
    <row r="24" spans="2:6" x14ac:dyDescent="0.3">
      <c r="B24" s="45" t="s">
        <v>350</v>
      </c>
      <c r="C24" s="51">
        <v>264.8</v>
      </c>
      <c r="D24" s="51">
        <v>294.40000000000003</v>
      </c>
      <c r="E24" s="51">
        <v>271.2</v>
      </c>
      <c r="F24" s="51">
        <v>325.10000000000002</v>
      </c>
    </row>
    <row r="25" spans="2:6" x14ac:dyDescent="0.3">
      <c r="B25" s="45" t="s">
        <v>351</v>
      </c>
      <c r="C25" s="51">
        <v>135</v>
      </c>
      <c r="D25" s="51">
        <v>143.6</v>
      </c>
      <c r="E25" s="51">
        <v>158.4</v>
      </c>
      <c r="F25" s="51">
        <v>145</v>
      </c>
    </row>
    <row r="26" spans="2:6" x14ac:dyDescent="0.3">
      <c r="B26" s="45" t="s">
        <v>352</v>
      </c>
      <c r="C26" s="51">
        <v>5004</v>
      </c>
      <c r="D26" s="51">
        <v>5362.7</v>
      </c>
      <c r="E26" s="51">
        <v>4259.5</v>
      </c>
      <c r="F26" s="51">
        <v>4433.8</v>
      </c>
    </row>
    <row r="27" spans="2:6" x14ac:dyDescent="0.3">
      <c r="B27" s="45" t="s">
        <v>353</v>
      </c>
      <c r="C27" s="51">
        <v>5983.5</v>
      </c>
      <c r="D27" s="51">
        <v>6358</v>
      </c>
      <c r="E27" s="51">
        <v>5314.3</v>
      </c>
      <c r="F27" s="51">
        <v>5531.5</v>
      </c>
    </row>
    <row r="28" spans="2:6" x14ac:dyDescent="0.3">
      <c r="B28" s="45" t="s">
        <v>354</v>
      </c>
      <c r="C28" s="51">
        <v>778.80000000000007</v>
      </c>
      <c r="D28" s="48" t="s">
        <v>355</v>
      </c>
      <c r="E28" s="48" t="s">
        <v>355</v>
      </c>
      <c r="F28" s="48" t="s">
        <v>355</v>
      </c>
    </row>
    <row r="29" spans="2:6" x14ac:dyDescent="0.3">
      <c r="B29" s="45" t="s">
        <v>356</v>
      </c>
      <c r="C29" s="51">
        <v>-542.79999999999995</v>
      </c>
      <c r="D29" s="48" t="s">
        <v>355</v>
      </c>
      <c r="E29" s="48" t="s">
        <v>355</v>
      </c>
      <c r="F29" s="48" t="s">
        <v>355</v>
      </c>
    </row>
    <row r="30" spans="2:6" x14ac:dyDescent="0.3">
      <c r="B30" s="44" t="s">
        <v>357</v>
      </c>
      <c r="C30" s="63">
        <v>236</v>
      </c>
      <c r="D30" s="63">
        <v>241.6</v>
      </c>
      <c r="E30" s="63">
        <v>248.8</v>
      </c>
      <c r="F30" s="63">
        <v>243.5</v>
      </c>
    </row>
    <row r="31" spans="2:6" x14ac:dyDescent="0.3">
      <c r="B31" s="45" t="s">
        <v>358</v>
      </c>
      <c r="C31" s="51">
        <v>2336.7000000000003</v>
      </c>
      <c r="D31" s="51">
        <v>2343.4</v>
      </c>
      <c r="E31" s="51">
        <v>2382.8000000000002</v>
      </c>
      <c r="F31" s="51">
        <v>2384.9</v>
      </c>
    </row>
    <row r="32" spans="2:6" x14ac:dyDescent="0.3">
      <c r="B32" s="45" t="s">
        <v>359</v>
      </c>
      <c r="C32" s="51">
        <v>189.20000000000002</v>
      </c>
      <c r="D32" s="51">
        <v>162.4</v>
      </c>
      <c r="E32" s="51">
        <v>142.6</v>
      </c>
      <c r="F32" s="51">
        <v>129.6</v>
      </c>
    </row>
    <row r="33" spans="2:6" x14ac:dyDescent="0.3">
      <c r="B33" s="45" t="s">
        <v>360</v>
      </c>
      <c r="C33" s="51">
        <v>231.8</v>
      </c>
      <c r="D33" s="51">
        <v>242.20000000000002</v>
      </c>
      <c r="E33" s="51">
        <v>250.8</v>
      </c>
      <c r="F33" s="51">
        <v>262.39999999999998</v>
      </c>
    </row>
    <row r="34" spans="2:6" x14ac:dyDescent="0.3">
      <c r="B34" s="45" t="s">
        <v>361</v>
      </c>
      <c r="C34" s="51">
        <v>139.80000000000001</v>
      </c>
      <c r="D34" s="51">
        <v>151.9</v>
      </c>
      <c r="E34" s="51">
        <v>161.5</v>
      </c>
      <c r="F34" s="51">
        <v>124.3</v>
      </c>
    </row>
    <row r="35" spans="2:6" x14ac:dyDescent="0.3">
      <c r="B35" s="45" t="s">
        <v>362</v>
      </c>
      <c r="C35" s="51">
        <v>9117</v>
      </c>
      <c r="D35" s="51">
        <v>9499.5</v>
      </c>
      <c r="E35" s="51">
        <v>8500.7999999999993</v>
      </c>
      <c r="F35" s="51">
        <v>8676.2000000000007</v>
      </c>
    </row>
    <row r="36" spans="2:6" x14ac:dyDescent="0.3">
      <c r="B36" s="44" t="s">
        <v>363</v>
      </c>
      <c r="C36" s="48"/>
      <c r="D36" s="48"/>
      <c r="E36" s="48"/>
      <c r="F36" s="48"/>
    </row>
    <row r="37" spans="2:6" x14ac:dyDescent="0.3">
      <c r="B37" s="45" t="s">
        <v>156</v>
      </c>
      <c r="C37" s="51">
        <v>77</v>
      </c>
      <c r="D37" s="51">
        <v>86</v>
      </c>
      <c r="E37" s="51">
        <v>85.100000000000009</v>
      </c>
      <c r="F37" s="51">
        <v>88.9</v>
      </c>
    </row>
    <row r="38" spans="2:6" x14ac:dyDescent="0.3">
      <c r="B38" s="45" t="s">
        <v>364</v>
      </c>
      <c r="C38" s="51">
        <v>158.30000000000001</v>
      </c>
      <c r="D38" s="51">
        <v>150.20000000000002</v>
      </c>
      <c r="E38" s="51">
        <v>147.30000000000001</v>
      </c>
      <c r="F38" s="51">
        <v>172.8</v>
      </c>
    </row>
    <row r="39" spans="2:6" x14ac:dyDescent="0.3">
      <c r="B39" s="45" t="s">
        <v>365</v>
      </c>
      <c r="C39" s="51">
        <v>6.5</v>
      </c>
      <c r="D39" s="51">
        <v>582.30000000000007</v>
      </c>
      <c r="E39" s="51">
        <v>582.30000000000007</v>
      </c>
      <c r="F39" s="51">
        <v>582.30000000000007</v>
      </c>
    </row>
    <row r="40" spans="2:6" x14ac:dyDescent="0.3">
      <c r="B40" s="45" t="s">
        <v>366</v>
      </c>
      <c r="C40" s="51">
        <v>6.5</v>
      </c>
      <c r="D40" s="51">
        <v>6</v>
      </c>
      <c r="E40" s="51">
        <v>6.1000000000000005</v>
      </c>
      <c r="F40" s="51">
        <v>5.6000000000000005</v>
      </c>
    </row>
    <row r="41" spans="2:6" x14ac:dyDescent="0.3">
      <c r="B41" s="45" t="s">
        <v>367</v>
      </c>
      <c r="C41" s="51">
        <v>42.300000000000004</v>
      </c>
      <c r="D41" s="51">
        <v>40.1</v>
      </c>
      <c r="E41" s="51">
        <v>46.9</v>
      </c>
      <c r="F41" s="51">
        <v>39.1</v>
      </c>
    </row>
    <row r="42" spans="2:6" x14ac:dyDescent="0.3">
      <c r="B42" s="45" t="s">
        <v>368</v>
      </c>
      <c r="C42" s="51">
        <v>5024.2</v>
      </c>
      <c r="D42" s="51">
        <v>5361.8</v>
      </c>
      <c r="E42" s="51">
        <v>4250.1000000000004</v>
      </c>
      <c r="F42" s="51">
        <v>4413.3</v>
      </c>
    </row>
    <row r="43" spans="2:6" x14ac:dyDescent="0.3">
      <c r="B43" s="45" t="s">
        <v>369</v>
      </c>
      <c r="C43" s="51">
        <v>5314.8</v>
      </c>
      <c r="D43" s="51">
        <v>6226.4000000000005</v>
      </c>
      <c r="E43" s="51">
        <v>5117.8</v>
      </c>
      <c r="F43" s="51">
        <v>5302</v>
      </c>
    </row>
    <row r="44" spans="2:6" x14ac:dyDescent="0.3">
      <c r="B44" s="45" t="s">
        <v>370</v>
      </c>
      <c r="C44" s="51">
        <v>1203.4000000000001</v>
      </c>
      <c r="D44" s="51">
        <v>626.1</v>
      </c>
      <c r="E44" s="51">
        <v>625.70000000000005</v>
      </c>
      <c r="F44" s="51">
        <v>625.1</v>
      </c>
    </row>
    <row r="45" spans="2:6" x14ac:dyDescent="0.3">
      <c r="B45" s="45" t="s">
        <v>371</v>
      </c>
      <c r="C45" s="51">
        <v>16.5</v>
      </c>
      <c r="D45" s="51">
        <v>16.8</v>
      </c>
      <c r="E45" s="51">
        <v>15.3</v>
      </c>
      <c r="F45" s="51">
        <v>13.9</v>
      </c>
    </row>
    <row r="46" spans="2:6" x14ac:dyDescent="0.3">
      <c r="B46" s="45" t="s">
        <v>372</v>
      </c>
      <c r="C46" s="51">
        <v>5.9</v>
      </c>
      <c r="D46" s="51">
        <v>5.6000000000000005</v>
      </c>
      <c r="E46" s="51">
        <v>5.3</v>
      </c>
      <c r="F46" s="51">
        <v>4.8</v>
      </c>
    </row>
    <row r="47" spans="2:6" x14ac:dyDescent="0.3">
      <c r="B47" s="45" t="s">
        <v>373</v>
      </c>
      <c r="C47" s="51">
        <v>30.1</v>
      </c>
      <c r="D47" s="51">
        <v>32.5</v>
      </c>
      <c r="E47" s="51">
        <v>34.4</v>
      </c>
      <c r="F47" s="51">
        <v>35.700000000000003</v>
      </c>
    </row>
    <row r="48" spans="2:6" x14ac:dyDescent="0.3">
      <c r="B48" s="45" t="s">
        <v>374</v>
      </c>
      <c r="C48" s="51">
        <v>6570.7</v>
      </c>
      <c r="D48" s="51">
        <v>6907.4000000000005</v>
      </c>
      <c r="E48" s="51">
        <v>5798.5</v>
      </c>
      <c r="F48" s="51">
        <v>5981.5</v>
      </c>
    </row>
    <row r="49" spans="2:6" x14ac:dyDescent="0.3">
      <c r="B49" s="44" t="s">
        <v>375</v>
      </c>
      <c r="C49" s="48"/>
      <c r="D49" s="48"/>
      <c r="E49" s="48"/>
      <c r="F49" s="48"/>
    </row>
    <row r="50" spans="2:6" x14ac:dyDescent="0.3">
      <c r="B50" s="45" t="s">
        <v>376</v>
      </c>
      <c r="C50" s="51">
        <v>1.6</v>
      </c>
      <c r="D50" s="51">
        <v>1.6</v>
      </c>
      <c r="E50" s="51">
        <v>1.6</v>
      </c>
      <c r="F50" s="51">
        <v>1.6</v>
      </c>
    </row>
    <row r="51" spans="2:6" x14ac:dyDescent="0.3">
      <c r="B51" s="45" t="s">
        <v>377</v>
      </c>
      <c r="C51" s="51">
        <v>3363.2000000000003</v>
      </c>
      <c r="D51" s="51">
        <v>3391.4</v>
      </c>
      <c r="E51" s="51">
        <v>3437.6</v>
      </c>
      <c r="F51" s="51">
        <v>3490.3</v>
      </c>
    </row>
    <row r="52" spans="2:6" x14ac:dyDescent="0.3">
      <c r="B52" s="45" t="s">
        <v>315</v>
      </c>
      <c r="C52" s="51">
        <v>-335.8</v>
      </c>
      <c r="D52" s="51">
        <v>-351.3</v>
      </c>
      <c r="E52" s="51">
        <v>-350.8</v>
      </c>
      <c r="F52" s="51">
        <v>-556.30000000000007</v>
      </c>
    </row>
    <row r="53" spans="2:6" x14ac:dyDescent="0.3">
      <c r="B53" s="45" t="s">
        <v>378</v>
      </c>
      <c r="C53" s="51">
        <v>-482.7</v>
      </c>
      <c r="D53" s="51">
        <v>-449.6</v>
      </c>
      <c r="E53" s="51">
        <v>-386.1</v>
      </c>
      <c r="F53" s="51">
        <v>-240.9</v>
      </c>
    </row>
    <row r="54" spans="2:6" x14ac:dyDescent="0.3">
      <c r="B54" s="45" t="s">
        <v>379</v>
      </c>
      <c r="C54" s="51">
        <v>2546.3000000000002</v>
      </c>
      <c r="D54" s="51">
        <v>2592.1</v>
      </c>
      <c r="E54" s="51">
        <v>2702.3</v>
      </c>
      <c r="F54" s="51">
        <v>2694.7000000000003</v>
      </c>
    </row>
    <row r="55" spans="2:6" x14ac:dyDescent="0.3">
      <c r="B55" s="45" t="s">
        <v>380</v>
      </c>
      <c r="C55" s="51">
        <v>2546.3000000000002</v>
      </c>
      <c r="D55" s="51">
        <v>2592.1</v>
      </c>
      <c r="E55" s="51">
        <v>2702.3</v>
      </c>
      <c r="F55" s="51">
        <v>2694.7000000000003</v>
      </c>
    </row>
    <row r="56" spans="2:6" x14ac:dyDescent="0.3">
      <c r="B56" s="45" t="s">
        <v>381</v>
      </c>
      <c r="C56" s="51">
        <v>9117</v>
      </c>
      <c r="D56" s="51">
        <v>9499.5</v>
      </c>
      <c r="E56" s="51">
        <v>8500.7999999999993</v>
      </c>
      <c r="F56" s="51">
        <v>8676.2000000000007</v>
      </c>
    </row>
    <row r="57" spans="2:6" x14ac:dyDescent="0.3">
      <c r="B57" s="44" t="s">
        <v>382</v>
      </c>
      <c r="C57" s="48"/>
      <c r="D57" s="48"/>
      <c r="E57" s="48"/>
      <c r="F57" s="48"/>
    </row>
    <row r="58" spans="2:6" x14ac:dyDescent="0.3">
      <c r="B58" s="45" t="s">
        <v>383</v>
      </c>
      <c r="C58" s="51">
        <v>158921563</v>
      </c>
      <c r="D58" s="51">
        <v>159881069</v>
      </c>
      <c r="E58" s="51">
        <v>159692530</v>
      </c>
      <c r="F58" s="51">
        <v>160034963</v>
      </c>
    </row>
    <row r="59" spans="2:6" x14ac:dyDescent="0.3">
      <c r="B59" s="45" t="s">
        <v>384</v>
      </c>
      <c r="C59" s="51">
        <v>159000000</v>
      </c>
      <c r="D59" s="51">
        <v>160000000</v>
      </c>
      <c r="E59" s="51">
        <v>159800000</v>
      </c>
      <c r="F59" s="51">
        <v>160000000</v>
      </c>
    </row>
    <row r="60" spans="2:6" x14ac:dyDescent="0.3">
      <c r="B60" s="45" t="s">
        <v>385</v>
      </c>
      <c r="C60" s="52">
        <v>16.013999999999999</v>
      </c>
      <c r="D60" s="52">
        <v>16.201000000000001</v>
      </c>
      <c r="E60" s="52">
        <v>16.911000000000001</v>
      </c>
      <c r="F60" s="52">
        <v>16.841999999999999</v>
      </c>
    </row>
    <row r="61" spans="2:6" x14ac:dyDescent="0.3">
      <c r="B61" s="45" t="s">
        <v>386</v>
      </c>
      <c r="C61" s="51">
        <v>20.400000000000002</v>
      </c>
      <c r="D61" s="51">
        <v>86.3</v>
      </c>
      <c r="E61" s="51">
        <v>176.9</v>
      </c>
      <c r="F61" s="51">
        <v>180.20000000000002</v>
      </c>
    </row>
    <row r="62" spans="2:6" x14ac:dyDescent="0.3">
      <c r="B62" s="45" t="s">
        <v>387</v>
      </c>
      <c r="C62" s="52">
        <v>0.128</v>
      </c>
      <c r="D62" s="52">
        <v>0.53900000000000003</v>
      </c>
      <c r="E62" s="52">
        <v>1.107</v>
      </c>
      <c r="F62" s="52">
        <v>1.1259999999999999</v>
      </c>
    </row>
    <row r="63" spans="2:6" x14ac:dyDescent="0.3">
      <c r="B63" s="45" t="s">
        <v>49</v>
      </c>
      <c r="C63" s="51">
        <v>1232.9000000000001</v>
      </c>
      <c r="D63" s="51">
        <v>1231.2</v>
      </c>
      <c r="E63" s="51">
        <v>1229.4000000000001</v>
      </c>
      <c r="F63" s="51">
        <v>1226.9000000000001</v>
      </c>
    </row>
    <row r="64" spans="2:6" x14ac:dyDescent="0.3">
      <c r="B64" s="45" t="s">
        <v>22</v>
      </c>
      <c r="C64" s="51">
        <v>653.20000000000005</v>
      </c>
      <c r="D64" s="51">
        <v>673.9</v>
      </c>
      <c r="E64" s="51">
        <v>604.20000000000005</v>
      </c>
      <c r="F64" s="51">
        <v>599.30000000000007</v>
      </c>
    </row>
    <row r="65" spans="2:6" x14ac:dyDescent="0.3">
      <c r="B65" s="45" t="s">
        <v>388</v>
      </c>
      <c r="C65" s="51">
        <v>24.5</v>
      </c>
      <c r="D65" s="48" t="s">
        <v>355</v>
      </c>
      <c r="E65" s="48" t="s">
        <v>355</v>
      </c>
      <c r="F65" s="48" t="s">
        <v>355</v>
      </c>
    </row>
    <row r="66" spans="2:6" x14ac:dyDescent="0.3">
      <c r="B66" s="45" t="s">
        <v>389</v>
      </c>
      <c r="C66" s="51">
        <v>44.7</v>
      </c>
      <c r="D66" s="48" t="s">
        <v>355</v>
      </c>
      <c r="E66" s="48" t="s">
        <v>355</v>
      </c>
      <c r="F66" s="48" t="s">
        <v>355</v>
      </c>
    </row>
    <row r="67" spans="2:6" x14ac:dyDescent="0.3">
      <c r="B67" s="45" t="s">
        <v>390</v>
      </c>
      <c r="C67" s="51">
        <v>102.8</v>
      </c>
      <c r="D67" s="48" t="s">
        <v>355</v>
      </c>
      <c r="E67" s="48" t="s">
        <v>355</v>
      </c>
      <c r="F67" s="48" t="s">
        <v>355</v>
      </c>
    </row>
    <row r="68" spans="2:6" x14ac:dyDescent="0.3">
      <c r="B68" s="45" t="s">
        <v>391</v>
      </c>
      <c r="C68" s="51">
        <v>9600</v>
      </c>
      <c r="D68" s="48" t="s">
        <v>355</v>
      </c>
      <c r="E68" s="48" t="s">
        <v>355</v>
      </c>
      <c r="F68" s="48" t="s">
        <v>355</v>
      </c>
    </row>
    <row r="69" spans="2:6" x14ac:dyDescent="0.3">
      <c r="B69" s="45" t="s">
        <v>392</v>
      </c>
      <c r="C69" s="51">
        <v>13.5</v>
      </c>
      <c r="D69" s="48" t="s">
        <v>355</v>
      </c>
      <c r="E69" s="48" t="s">
        <v>355</v>
      </c>
      <c r="F69" s="48" t="s">
        <v>355</v>
      </c>
    </row>
    <row r="70" spans="2:6" x14ac:dyDescent="0.3">
      <c r="B70" s="45" t="s">
        <v>393</v>
      </c>
      <c r="C70" s="48" t="s">
        <v>355</v>
      </c>
      <c r="D70" s="51">
        <v>1280</v>
      </c>
      <c r="E70" s="51">
        <v>1430</v>
      </c>
      <c r="F70" s="51">
        <v>1520</v>
      </c>
    </row>
    <row r="71" spans="2:6" x14ac:dyDescent="0.3">
      <c r="B71" s="45" t="s">
        <v>394</v>
      </c>
      <c r="C71" s="48" t="s">
        <v>395</v>
      </c>
      <c r="D71" s="48" t="s">
        <v>395</v>
      </c>
      <c r="E71" s="48" t="s">
        <v>395</v>
      </c>
      <c r="F71" s="48" t="s">
        <v>395</v>
      </c>
    </row>
    <row r="72" spans="2:6" x14ac:dyDescent="0.3">
      <c r="B72" s="45" t="s">
        <v>396</v>
      </c>
      <c r="C72" s="48" t="s">
        <v>397</v>
      </c>
      <c r="D72" s="48" t="s">
        <v>397</v>
      </c>
      <c r="E72" s="48" t="s">
        <v>397</v>
      </c>
      <c r="F72" s="48" t="s">
        <v>397</v>
      </c>
    </row>
    <row r="73" spans="2:6" x14ac:dyDescent="0.3">
      <c r="B73" s="44" t="s">
        <v>398</v>
      </c>
      <c r="C73" s="48"/>
      <c r="D73" s="48"/>
      <c r="E73" s="48"/>
      <c r="F73" s="48"/>
    </row>
    <row r="74" spans="2:6" x14ac:dyDescent="0.3">
      <c r="B74" s="45" t="s">
        <v>399</v>
      </c>
      <c r="C74" s="51">
        <v>2327.3000000000002</v>
      </c>
      <c r="D74" s="51">
        <v>2447</v>
      </c>
      <c r="E74" s="51">
        <v>2543.4</v>
      </c>
      <c r="F74" s="51">
        <v>2616.7000000000003</v>
      </c>
    </row>
    <row r="75" spans="2:6" x14ac:dyDescent="0.3">
      <c r="B75" s="45" t="s">
        <v>400</v>
      </c>
      <c r="C75" s="51">
        <v>2327.3000000000002</v>
      </c>
      <c r="D75" s="51">
        <v>2447</v>
      </c>
      <c r="E75" s="51">
        <v>2543.4</v>
      </c>
      <c r="F75" s="51">
        <v>2616.7000000000003</v>
      </c>
    </row>
    <row r="76" spans="2:6" x14ac:dyDescent="0.3">
      <c r="B76" s="45" t="s">
        <v>401</v>
      </c>
      <c r="C76" s="51">
        <v>1200</v>
      </c>
      <c r="D76" s="51">
        <v>1190</v>
      </c>
      <c r="E76" s="51">
        <v>1200</v>
      </c>
      <c r="F76" s="51">
        <v>1200</v>
      </c>
    </row>
    <row r="77" spans="2:6" x14ac:dyDescent="0.3">
      <c r="B77" s="45" t="s">
        <v>402</v>
      </c>
      <c r="C77" s="51">
        <v>1200</v>
      </c>
      <c r="D77" s="51">
        <v>1190</v>
      </c>
      <c r="E77" s="51">
        <v>1200</v>
      </c>
      <c r="F77" s="51">
        <v>1200</v>
      </c>
    </row>
    <row r="78" spans="2:6" x14ac:dyDescent="0.3">
      <c r="B78" s="45" t="s">
        <v>403</v>
      </c>
      <c r="C78" s="51">
        <v>0</v>
      </c>
      <c r="D78" s="48" t="s">
        <v>355</v>
      </c>
      <c r="E78" s="48" t="s">
        <v>355</v>
      </c>
      <c r="F78" s="48" t="s">
        <v>355</v>
      </c>
    </row>
    <row r="79" spans="2:6" x14ac:dyDescent="0.3">
      <c r="B79" s="46"/>
    </row>
    <row r="83" spans="2:13" ht="18" x14ac:dyDescent="0.35">
      <c r="B83" s="457" t="s">
        <v>326</v>
      </c>
      <c r="C83" s="457"/>
      <c r="D83" s="457"/>
      <c r="E83" s="457"/>
      <c r="F83" s="457"/>
      <c r="G83" s="457"/>
      <c r="H83" s="457"/>
      <c r="I83" s="457"/>
      <c r="J83" s="457"/>
      <c r="K83" s="457"/>
      <c r="L83" s="457"/>
      <c r="M83" s="457"/>
    </row>
    <row r="84" spans="2:13" x14ac:dyDescent="0.3">
      <c r="B84" s="45" t="s">
        <v>327</v>
      </c>
    </row>
    <row r="86" spans="2:13" x14ac:dyDescent="0.3">
      <c r="B86" s="45" t="s">
        <v>328</v>
      </c>
      <c r="C86" s="46"/>
    </row>
    <row r="87" spans="2:13" x14ac:dyDescent="0.3">
      <c r="B87" s="45" t="s">
        <v>329</v>
      </c>
      <c r="C87" s="46"/>
    </row>
    <row r="88" spans="2:13" x14ac:dyDescent="0.3">
      <c r="B88" s="45" t="s">
        <v>404</v>
      </c>
      <c r="C88" s="46"/>
    </row>
    <row r="89" spans="2:13" x14ac:dyDescent="0.3">
      <c r="B89" s="45" t="s">
        <v>331</v>
      </c>
      <c r="C89" s="46"/>
    </row>
    <row r="90" spans="2:13" x14ac:dyDescent="0.3">
      <c r="B90" s="45" t="s">
        <v>332</v>
      </c>
      <c r="C90" s="46"/>
    </row>
    <row r="91" spans="2:13" x14ac:dyDescent="0.3">
      <c r="B91" s="45" t="s">
        <v>405</v>
      </c>
      <c r="C91" s="46"/>
    </row>
    <row r="92" spans="2:13" x14ac:dyDescent="0.3">
      <c r="B92" s="45" t="s">
        <v>406</v>
      </c>
      <c r="C92" s="46"/>
    </row>
    <row r="93" spans="2:13" x14ac:dyDescent="0.3">
      <c r="B93" s="456"/>
      <c r="C93" s="456"/>
      <c r="D93" s="456"/>
      <c r="E93" s="456"/>
      <c r="F93" s="456"/>
      <c r="G93" s="456"/>
    </row>
    <row r="94" spans="2:13" x14ac:dyDescent="0.3">
      <c r="B94" s="47" t="s">
        <v>335</v>
      </c>
      <c r="C94" s="62" t="s">
        <v>407</v>
      </c>
      <c r="D94" s="62" t="s">
        <v>408</v>
      </c>
      <c r="E94" s="62" t="s">
        <v>409</v>
      </c>
      <c r="F94" s="62" t="s">
        <v>410</v>
      </c>
      <c r="G94" s="62" t="s">
        <v>411</v>
      </c>
    </row>
    <row r="95" spans="2:13" ht="28.8" x14ac:dyDescent="0.3">
      <c r="B95" s="45" t="s">
        <v>340</v>
      </c>
      <c r="C95" s="48" t="s">
        <v>341</v>
      </c>
      <c r="D95" s="48" t="s">
        <v>341</v>
      </c>
      <c r="E95" s="48" t="s">
        <v>341</v>
      </c>
      <c r="F95" s="48" t="s">
        <v>341</v>
      </c>
      <c r="G95" s="48" t="s">
        <v>341</v>
      </c>
    </row>
    <row r="96" spans="2:13" x14ac:dyDescent="0.3">
      <c r="B96" s="45" t="s">
        <v>342</v>
      </c>
      <c r="C96" s="49">
        <v>44196</v>
      </c>
      <c r="D96" s="49">
        <v>44561</v>
      </c>
      <c r="E96" s="49">
        <v>44926</v>
      </c>
      <c r="F96" s="49">
        <v>45291</v>
      </c>
      <c r="G96" s="49">
        <v>45657</v>
      </c>
    </row>
    <row r="97" spans="2:7" x14ac:dyDescent="0.3">
      <c r="B97" s="45" t="s">
        <v>343</v>
      </c>
      <c r="C97" s="49">
        <v>44986</v>
      </c>
      <c r="D97" s="49">
        <v>45350</v>
      </c>
      <c r="E97" s="49">
        <v>45716</v>
      </c>
      <c r="F97" s="49">
        <v>45716</v>
      </c>
      <c r="G97" s="49">
        <v>45716</v>
      </c>
    </row>
    <row r="98" spans="2:7" x14ac:dyDescent="0.3">
      <c r="B98" s="45" t="s">
        <v>412</v>
      </c>
      <c r="C98" s="50">
        <v>1</v>
      </c>
      <c r="D98" s="50">
        <v>1</v>
      </c>
      <c r="E98" s="50">
        <v>1</v>
      </c>
      <c r="F98" s="50">
        <v>1</v>
      </c>
      <c r="G98" s="50">
        <v>1</v>
      </c>
    </row>
    <row r="99" spans="2:7" x14ac:dyDescent="0.3">
      <c r="B99" s="45" t="s">
        <v>413</v>
      </c>
      <c r="C99" s="50">
        <v>1</v>
      </c>
      <c r="D99" s="50">
        <v>1</v>
      </c>
      <c r="E99" s="50">
        <v>1</v>
      </c>
      <c r="F99" s="50">
        <v>1</v>
      </c>
      <c r="G99" s="50">
        <v>1</v>
      </c>
    </row>
    <row r="100" spans="2:7" x14ac:dyDescent="0.3">
      <c r="B100" s="45" t="s">
        <v>344</v>
      </c>
      <c r="C100" s="48" t="s">
        <v>345</v>
      </c>
      <c r="D100" s="48" t="s">
        <v>345</v>
      </c>
      <c r="E100" s="48" t="s">
        <v>345</v>
      </c>
      <c r="F100" s="48" t="s">
        <v>345</v>
      </c>
      <c r="G100" s="48" t="s">
        <v>345</v>
      </c>
    </row>
    <row r="101" spans="2:7" x14ac:dyDescent="0.3">
      <c r="B101" s="45" t="s">
        <v>340</v>
      </c>
      <c r="C101" s="48"/>
      <c r="D101" s="48"/>
      <c r="E101" s="48"/>
      <c r="F101" s="48"/>
      <c r="G101" s="48"/>
    </row>
    <row r="102" spans="2:7" x14ac:dyDescent="0.3">
      <c r="B102" s="44" t="s">
        <v>414</v>
      </c>
      <c r="C102" s="48"/>
      <c r="D102" s="48"/>
      <c r="E102" s="48"/>
      <c r="F102" s="48"/>
      <c r="G102" s="48"/>
    </row>
    <row r="103" spans="2:7" x14ac:dyDescent="0.3">
      <c r="B103" s="45" t="s">
        <v>347</v>
      </c>
      <c r="C103" s="51">
        <v>188200</v>
      </c>
      <c r="D103" s="51">
        <v>367500</v>
      </c>
      <c r="E103" s="51">
        <v>431900</v>
      </c>
      <c r="F103" s="51">
        <v>570300</v>
      </c>
      <c r="G103" s="51">
        <v>579700</v>
      </c>
    </row>
    <row r="104" spans="2:7" x14ac:dyDescent="0.3">
      <c r="B104" s="45" t="s">
        <v>348</v>
      </c>
      <c r="C104" s="51">
        <v>188200</v>
      </c>
      <c r="D104" s="51">
        <v>367500</v>
      </c>
      <c r="E104" s="51">
        <v>431900</v>
      </c>
      <c r="F104" s="51">
        <v>570300</v>
      </c>
      <c r="G104" s="51">
        <v>579700</v>
      </c>
    </row>
    <row r="105" spans="2:7" x14ac:dyDescent="0.3">
      <c r="B105" s="45" t="s">
        <v>150</v>
      </c>
      <c r="C105" s="51">
        <v>87600</v>
      </c>
      <c r="D105" s="51">
        <v>122400</v>
      </c>
      <c r="E105" s="51">
        <v>133800</v>
      </c>
      <c r="F105" s="51">
        <v>163500</v>
      </c>
      <c r="G105" s="51">
        <v>204100</v>
      </c>
    </row>
    <row r="106" spans="2:7" x14ac:dyDescent="0.3">
      <c r="B106" s="45" t="s">
        <v>349</v>
      </c>
      <c r="C106" s="51">
        <v>13500</v>
      </c>
      <c r="D106" s="51">
        <v>23900</v>
      </c>
      <c r="E106" s="51">
        <v>46300</v>
      </c>
      <c r="F106" s="51">
        <v>65300</v>
      </c>
      <c r="G106" s="51">
        <v>60700</v>
      </c>
    </row>
    <row r="107" spans="2:7" x14ac:dyDescent="0.3">
      <c r="B107" s="45" t="s">
        <v>350</v>
      </c>
      <c r="C107" s="51">
        <v>101100</v>
      </c>
      <c r="D107" s="51">
        <v>146300</v>
      </c>
      <c r="E107" s="51">
        <v>180100</v>
      </c>
      <c r="F107" s="51">
        <v>228800</v>
      </c>
      <c r="G107" s="51">
        <v>264800</v>
      </c>
    </row>
    <row r="108" spans="2:7" x14ac:dyDescent="0.3">
      <c r="B108" s="45" t="s">
        <v>351</v>
      </c>
      <c r="C108" s="51">
        <v>71700</v>
      </c>
      <c r="D108" s="51">
        <v>89200</v>
      </c>
      <c r="E108" s="51">
        <v>95200</v>
      </c>
      <c r="F108" s="51">
        <v>124400</v>
      </c>
      <c r="G108" s="51">
        <v>135000</v>
      </c>
    </row>
    <row r="109" spans="2:7" x14ac:dyDescent="0.3">
      <c r="B109" s="45" t="s">
        <v>415</v>
      </c>
      <c r="C109" s="48" t="s">
        <v>355</v>
      </c>
      <c r="D109" s="51">
        <v>1900</v>
      </c>
      <c r="E109" s="51">
        <v>800</v>
      </c>
      <c r="F109" s="51">
        <v>800</v>
      </c>
      <c r="G109" s="48" t="s">
        <v>355</v>
      </c>
    </row>
    <row r="110" spans="2:7" x14ac:dyDescent="0.3">
      <c r="B110" s="45" t="s">
        <v>352</v>
      </c>
      <c r="C110" s="51">
        <v>3761600</v>
      </c>
      <c r="D110" s="51">
        <v>3539200</v>
      </c>
      <c r="E110" s="51">
        <v>4732300</v>
      </c>
      <c r="F110" s="51">
        <v>5030900</v>
      </c>
      <c r="G110" s="51">
        <v>5004000</v>
      </c>
    </row>
    <row r="111" spans="2:7" x14ac:dyDescent="0.3">
      <c r="B111" s="45" t="s">
        <v>353</v>
      </c>
      <c r="C111" s="51">
        <v>4122600</v>
      </c>
      <c r="D111" s="51">
        <v>4144100</v>
      </c>
      <c r="E111" s="51">
        <v>5440300</v>
      </c>
      <c r="F111" s="51">
        <v>5955200</v>
      </c>
      <c r="G111" s="51">
        <v>5983500</v>
      </c>
    </row>
    <row r="112" spans="2:7" x14ac:dyDescent="0.3">
      <c r="B112" s="45" t="s">
        <v>354</v>
      </c>
      <c r="C112" s="51">
        <v>510800</v>
      </c>
      <c r="D112" s="51">
        <v>540200</v>
      </c>
      <c r="E112" s="51">
        <v>641900</v>
      </c>
      <c r="F112" s="51">
        <v>730600</v>
      </c>
      <c r="G112" s="51">
        <v>778800</v>
      </c>
    </row>
    <row r="113" spans="2:7" x14ac:dyDescent="0.3">
      <c r="B113" s="45" t="s">
        <v>356</v>
      </c>
      <c r="C113" s="51">
        <v>-346500</v>
      </c>
      <c r="D113" s="51">
        <v>-382600</v>
      </c>
      <c r="E113" s="51">
        <v>-442700</v>
      </c>
      <c r="F113" s="51">
        <v>-501400</v>
      </c>
      <c r="G113" s="51">
        <v>-542800</v>
      </c>
    </row>
    <row r="114" spans="2:7" x14ac:dyDescent="0.3">
      <c r="B114" s="44" t="s">
        <v>357</v>
      </c>
      <c r="C114" s="63">
        <v>164300</v>
      </c>
      <c r="D114" s="63">
        <v>157600</v>
      </c>
      <c r="E114" s="63">
        <v>199200</v>
      </c>
      <c r="F114" s="63">
        <v>229200</v>
      </c>
      <c r="G114" s="63">
        <v>236000</v>
      </c>
    </row>
    <row r="115" spans="2:7" x14ac:dyDescent="0.3">
      <c r="B115" s="45" t="s">
        <v>358</v>
      </c>
      <c r="C115" s="51">
        <v>2031800</v>
      </c>
      <c r="D115" s="51">
        <v>2323600</v>
      </c>
      <c r="E115" s="51">
        <v>2280000</v>
      </c>
      <c r="F115" s="51">
        <v>2293900</v>
      </c>
      <c r="G115" s="51">
        <v>2336700</v>
      </c>
    </row>
    <row r="116" spans="2:7" x14ac:dyDescent="0.3">
      <c r="B116" s="45" t="s">
        <v>359</v>
      </c>
      <c r="C116" s="51">
        <v>195000</v>
      </c>
      <c r="D116" s="51">
        <v>332500</v>
      </c>
      <c r="E116" s="51">
        <v>281600</v>
      </c>
      <c r="F116" s="51">
        <v>230200</v>
      </c>
      <c r="G116" s="51">
        <v>189200</v>
      </c>
    </row>
    <row r="117" spans="2:7" x14ac:dyDescent="0.3">
      <c r="B117" s="45" t="s">
        <v>360</v>
      </c>
      <c r="C117" s="51">
        <v>132900</v>
      </c>
      <c r="D117" s="51">
        <v>144500</v>
      </c>
      <c r="E117" s="51">
        <v>151200</v>
      </c>
      <c r="F117" s="51">
        <v>192100</v>
      </c>
      <c r="G117" s="51">
        <v>231800</v>
      </c>
    </row>
    <row r="118" spans="2:7" x14ac:dyDescent="0.3">
      <c r="B118" s="45" t="s">
        <v>361</v>
      </c>
      <c r="C118" s="51">
        <v>54700</v>
      </c>
      <c r="D118" s="51">
        <v>63900</v>
      </c>
      <c r="E118" s="51">
        <v>111200</v>
      </c>
      <c r="F118" s="51">
        <v>110300</v>
      </c>
      <c r="G118" s="51">
        <v>139800</v>
      </c>
    </row>
    <row r="119" spans="2:7" x14ac:dyDescent="0.3">
      <c r="B119" s="45" t="s">
        <v>362</v>
      </c>
      <c r="C119" s="51">
        <v>6701300</v>
      </c>
      <c r="D119" s="51">
        <v>7166200</v>
      </c>
      <c r="E119" s="51">
        <v>8463500</v>
      </c>
      <c r="F119" s="51">
        <v>9010900</v>
      </c>
      <c r="G119" s="51">
        <v>9117000</v>
      </c>
    </row>
    <row r="120" spans="2:7" x14ac:dyDescent="0.3">
      <c r="B120" s="44" t="s">
        <v>416</v>
      </c>
      <c r="C120" s="48"/>
      <c r="D120" s="48"/>
      <c r="E120" s="48"/>
      <c r="F120" s="48"/>
      <c r="G120" s="48"/>
    </row>
    <row r="121" spans="2:7" x14ac:dyDescent="0.3">
      <c r="B121" s="45" t="s">
        <v>156</v>
      </c>
      <c r="C121" s="51">
        <v>38900</v>
      </c>
      <c r="D121" s="51">
        <v>51700</v>
      </c>
      <c r="E121" s="51">
        <v>54300</v>
      </c>
      <c r="F121" s="51">
        <v>66700</v>
      </c>
      <c r="G121" s="51">
        <v>77000</v>
      </c>
    </row>
    <row r="122" spans="2:7" x14ac:dyDescent="0.3">
      <c r="B122" s="45" t="s">
        <v>364</v>
      </c>
      <c r="C122" s="51">
        <v>85100</v>
      </c>
      <c r="D122" s="51">
        <v>102000</v>
      </c>
      <c r="E122" s="51">
        <v>121400</v>
      </c>
      <c r="F122" s="51">
        <v>114700</v>
      </c>
      <c r="G122" s="51">
        <v>158300</v>
      </c>
    </row>
    <row r="123" spans="2:7" x14ac:dyDescent="0.3">
      <c r="B123" s="45" t="s">
        <v>365</v>
      </c>
      <c r="C123" s="51">
        <v>6800</v>
      </c>
      <c r="D123" s="51">
        <v>6800</v>
      </c>
      <c r="E123" s="51">
        <v>6800</v>
      </c>
      <c r="F123" s="51">
        <v>6800</v>
      </c>
      <c r="G123" s="51">
        <v>6500</v>
      </c>
    </row>
    <row r="124" spans="2:7" x14ac:dyDescent="0.3">
      <c r="B124" s="45" t="s">
        <v>366</v>
      </c>
      <c r="C124" s="51">
        <v>10900</v>
      </c>
      <c r="D124" s="51">
        <v>12800</v>
      </c>
      <c r="E124" s="51">
        <v>11000</v>
      </c>
      <c r="F124" s="51">
        <v>7800</v>
      </c>
      <c r="G124" s="51">
        <v>6500</v>
      </c>
    </row>
    <row r="125" spans="2:7" x14ac:dyDescent="0.3">
      <c r="B125" s="45" t="s">
        <v>367</v>
      </c>
      <c r="C125" s="51">
        <v>24400</v>
      </c>
      <c r="D125" s="51">
        <v>48700</v>
      </c>
      <c r="E125" s="51">
        <v>41200</v>
      </c>
      <c r="F125" s="51">
        <v>40200</v>
      </c>
      <c r="G125" s="51">
        <v>42300</v>
      </c>
    </row>
    <row r="126" spans="2:7" x14ac:dyDescent="0.3">
      <c r="B126" s="45" t="s">
        <v>368</v>
      </c>
      <c r="C126" s="51">
        <v>3697800</v>
      </c>
      <c r="D126" s="51">
        <v>3519900</v>
      </c>
      <c r="E126" s="51">
        <v>4845100</v>
      </c>
      <c r="F126" s="51">
        <v>5098700</v>
      </c>
      <c r="G126" s="51">
        <v>5024200</v>
      </c>
    </row>
    <row r="127" spans="2:7" x14ac:dyDescent="0.3">
      <c r="B127" s="45" t="s">
        <v>369</v>
      </c>
      <c r="C127" s="51">
        <v>3863900</v>
      </c>
      <c r="D127" s="51">
        <v>3741900</v>
      </c>
      <c r="E127" s="51">
        <v>5079800</v>
      </c>
      <c r="F127" s="51">
        <v>5334900</v>
      </c>
      <c r="G127" s="51">
        <v>5314800</v>
      </c>
    </row>
    <row r="128" spans="2:7" x14ac:dyDescent="0.3">
      <c r="B128" s="45" t="s">
        <v>370</v>
      </c>
      <c r="C128" s="51">
        <v>652200</v>
      </c>
      <c r="D128" s="51">
        <v>1116300</v>
      </c>
      <c r="E128" s="51">
        <v>1206000</v>
      </c>
      <c r="F128" s="51">
        <v>1203600</v>
      </c>
      <c r="G128" s="51">
        <v>1203400</v>
      </c>
    </row>
    <row r="129" spans="2:7" x14ac:dyDescent="0.3">
      <c r="B129" s="45" t="s">
        <v>371</v>
      </c>
      <c r="C129" s="51">
        <v>42000</v>
      </c>
      <c r="D129" s="51">
        <v>40800</v>
      </c>
      <c r="E129" s="51">
        <v>31100</v>
      </c>
      <c r="F129" s="51">
        <v>25400</v>
      </c>
      <c r="G129" s="51">
        <v>16500</v>
      </c>
    </row>
    <row r="130" spans="2:7" x14ac:dyDescent="0.3">
      <c r="B130" s="45" t="s">
        <v>372</v>
      </c>
      <c r="C130" s="51">
        <v>24400</v>
      </c>
      <c r="D130" s="51">
        <v>20700</v>
      </c>
      <c r="E130" s="51">
        <v>17700</v>
      </c>
      <c r="F130" s="51">
        <v>27700</v>
      </c>
      <c r="G130" s="51">
        <v>5900</v>
      </c>
    </row>
    <row r="131" spans="2:7" x14ac:dyDescent="0.3">
      <c r="B131" s="45" t="s">
        <v>373</v>
      </c>
      <c r="C131" s="51">
        <v>20600</v>
      </c>
      <c r="D131" s="51">
        <v>19000</v>
      </c>
      <c r="E131" s="51">
        <v>19500</v>
      </c>
      <c r="F131" s="51">
        <v>21100</v>
      </c>
      <c r="G131" s="51">
        <v>30100</v>
      </c>
    </row>
    <row r="132" spans="2:7" x14ac:dyDescent="0.3">
      <c r="B132" s="45" t="s">
        <v>374</v>
      </c>
      <c r="C132" s="51">
        <v>4603100</v>
      </c>
      <c r="D132" s="51">
        <v>4938700</v>
      </c>
      <c r="E132" s="51">
        <v>6354100</v>
      </c>
      <c r="F132" s="51">
        <v>6612700</v>
      </c>
      <c r="G132" s="51">
        <v>6570700</v>
      </c>
    </row>
    <row r="133" spans="2:7" x14ac:dyDescent="0.3">
      <c r="B133" s="44" t="s">
        <v>417</v>
      </c>
      <c r="C133" s="48"/>
      <c r="D133" s="48"/>
      <c r="E133" s="48"/>
      <c r="F133" s="48"/>
      <c r="G133" s="48"/>
    </row>
    <row r="134" spans="2:7" x14ac:dyDescent="0.3">
      <c r="B134" s="45" t="s">
        <v>376</v>
      </c>
      <c r="C134" s="51">
        <v>1500</v>
      </c>
      <c r="D134" s="51">
        <v>1500</v>
      </c>
      <c r="E134" s="51">
        <v>1500</v>
      </c>
      <c r="F134" s="51">
        <v>1600</v>
      </c>
      <c r="G134" s="51">
        <v>1600</v>
      </c>
    </row>
    <row r="135" spans="2:7" x14ac:dyDescent="0.3">
      <c r="B135" s="45" t="s">
        <v>377</v>
      </c>
      <c r="C135" s="51">
        <v>2606500</v>
      </c>
      <c r="D135" s="51">
        <v>2860000</v>
      </c>
      <c r="E135" s="51">
        <v>2965500</v>
      </c>
      <c r="F135" s="51">
        <v>3151100</v>
      </c>
      <c r="G135" s="51">
        <v>3363200</v>
      </c>
    </row>
    <row r="136" spans="2:7" x14ac:dyDescent="0.3">
      <c r="B136" s="45" t="s">
        <v>315</v>
      </c>
      <c r="C136" s="51">
        <v>-233800</v>
      </c>
      <c r="D136" s="51">
        <v>-309200</v>
      </c>
      <c r="E136" s="51">
        <v>-372600</v>
      </c>
      <c r="F136" s="51">
        <v>-317800</v>
      </c>
      <c r="G136" s="51">
        <v>-335800</v>
      </c>
    </row>
    <row r="137" spans="2:7" x14ac:dyDescent="0.3">
      <c r="B137" s="45" t="s">
        <v>378</v>
      </c>
      <c r="C137" s="51">
        <v>-276000</v>
      </c>
      <c r="D137" s="51">
        <v>-324800</v>
      </c>
      <c r="E137" s="51">
        <v>-485000</v>
      </c>
      <c r="F137" s="51">
        <v>-436700</v>
      </c>
      <c r="G137" s="51">
        <v>-482700</v>
      </c>
    </row>
    <row r="138" spans="2:7" x14ac:dyDescent="0.3">
      <c r="B138" s="45" t="s">
        <v>379</v>
      </c>
      <c r="C138" s="51">
        <v>2098200</v>
      </c>
      <c r="D138" s="51">
        <v>2227500</v>
      </c>
      <c r="E138" s="51">
        <v>2109400</v>
      </c>
      <c r="F138" s="51">
        <v>2398200</v>
      </c>
      <c r="G138" s="51">
        <v>2546300</v>
      </c>
    </row>
    <row r="139" spans="2:7" x14ac:dyDescent="0.3">
      <c r="B139" s="45" t="s">
        <v>380</v>
      </c>
      <c r="C139" s="51">
        <v>2098200</v>
      </c>
      <c r="D139" s="51">
        <v>2227500</v>
      </c>
      <c r="E139" s="51">
        <v>2109400</v>
      </c>
      <c r="F139" s="51">
        <v>2398200</v>
      </c>
      <c r="G139" s="51">
        <v>2546300</v>
      </c>
    </row>
    <row r="140" spans="2:7" x14ac:dyDescent="0.3">
      <c r="B140" s="45" t="s">
        <v>381</v>
      </c>
      <c r="C140" s="51">
        <v>6701300</v>
      </c>
      <c r="D140" s="51">
        <v>7166200</v>
      </c>
      <c r="E140" s="51">
        <v>8463500</v>
      </c>
      <c r="F140" s="51">
        <v>9010900</v>
      </c>
      <c r="G140" s="51">
        <v>9117000</v>
      </c>
    </row>
    <row r="141" spans="2:7" x14ac:dyDescent="0.3">
      <c r="B141" s="44" t="s">
        <v>382</v>
      </c>
      <c r="C141" s="48"/>
      <c r="D141" s="48"/>
      <c r="E141" s="48"/>
      <c r="F141" s="48"/>
      <c r="G141" s="48"/>
    </row>
    <row r="142" spans="2:7" x14ac:dyDescent="0.3">
      <c r="B142" s="45" t="s">
        <v>383</v>
      </c>
      <c r="C142" s="51">
        <v>148801679</v>
      </c>
      <c r="D142" s="51">
        <v>152049674</v>
      </c>
      <c r="E142" s="51">
        <v>154106560</v>
      </c>
      <c r="F142" s="51">
        <v>156600000</v>
      </c>
      <c r="G142" s="51">
        <v>158921563</v>
      </c>
    </row>
    <row r="143" spans="2:7" x14ac:dyDescent="0.3">
      <c r="B143" s="45" t="s">
        <v>384</v>
      </c>
      <c r="C143" s="51">
        <v>148571412</v>
      </c>
      <c r="D143" s="51">
        <v>151995031</v>
      </c>
      <c r="E143" s="51">
        <v>153856645</v>
      </c>
      <c r="F143" s="51">
        <v>156300000</v>
      </c>
      <c r="G143" s="51">
        <v>159000000</v>
      </c>
    </row>
    <row r="144" spans="2:7" x14ac:dyDescent="0.3">
      <c r="B144" s="45" t="s">
        <v>385</v>
      </c>
      <c r="C144" s="52">
        <v>14.122999999999999</v>
      </c>
      <c r="D144" s="52">
        <v>14.654999999999999</v>
      </c>
      <c r="E144" s="52">
        <v>13.71</v>
      </c>
      <c r="F144" s="52">
        <v>15.343999999999999</v>
      </c>
      <c r="G144" s="52">
        <v>16.013999999999999</v>
      </c>
    </row>
    <row r="145" spans="2:7" x14ac:dyDescent="0.3">
      <c r="B145" s="45" t="s">
        <v>386</v>
      </c>
      <c r="C145" s="51">
        <v>-128600</v>
      </c>
      <c r="D145" s="51">
        <v>-428600</v>
      </c>
      <c r="E145" s="51">
        <v>-452200</v>
      </c>
      <c r="F145" s="51">
        <v>-125900</v>
      </c>
      <c r="G145" s="51">
        <v>20400</v>
      </c>
    </row>
    <row r="146" spans="2:7" x14ac:dyDescent="0.3">
      <c r="B146" s="45" t="s">
        <v>387</v>
      </c>
      <c r="C146" s="52">
        <v>-0.86599999999999999</v>
      </c>
      <c r="D146" s="52">
        <v>-2.82</v>
      </c>
      <c r="E146" s="52">
        <v>-2.9390000000000001</v>
      </c>
      <c r="F146" s="52">
        <v>-0.80600000000000005</v>
      </c>
      <c r="G146" s="52">
        <v>0.128</v>
      </c>
    </row>
    <row r="147" spans="2:7" x14ac:dyDescent="0.3">
      <c r="B147" s="45" t="s">
        <v>49</v>
      </c>
      <c r="C147" s="51">
        <v>711900</v>
      </c>
      <c r="D147" s="51">
        <v>1176700</v>
      </c>
      <c r="E147" s="51">
        <v>1254900</v>
      </c>
      <c r="F147" s="51">
        <v>1243600</v>
      </c>
      <c r="G147" s="51">
        <v>1232900</v>
      </c>
    </row>
    <row r="148" spans="2:7" x14ac:dyDescent="0.3">
      <c r="B148" s="45" t="s">
        <v>22</v>
      </c>
      <c r="C148" s="51">
        <v>523700</v>
      </c>
      <c r="D148" s="51">
        <v>809200</v>
      </c>
      <c r="E148" s="51">
        <v>823000</v>
      </c>
      <c r="F148" s="51">
        <v>673300</v>
      </c>
      <c r="G148" s="51">
        <v>653200</v>
      </c>
    </row>
    <row r="149" spans="2:7" x14ac:dyDescent="0.3">
      <c r="B149" s="45" t="s">
        <v>388</v>
      </c>
      <c r="C149" s="51">
        <v>-3500</v>
      </c>
      <c r="D149" s="51">
        <v>-1600</v>
      </c>
      <c r="E149" s="51">
        <v>11100</v>
      </c>
      <c r="F149" s="51">
        <v>21500</v>
      </c>
      <c r="G149" s="51">
        <v>24500</v>
      </c>
    </row>
    <row r="150" spans="2:7" x14ac:dyDescent="0.3">
      <c r="B150" s="45" t="s">
        <v>418</v>
      </c>
      <c r="C150" s="51">
        <v>40000</v>
      </c>
      <c r="D150" s="51">
        <v>31200</v>
      </c>
      <c r="E150" s="51">
        <v>74400</v>
      </c>
      <c r="F150" s="51">
        <v>67200</v>
      </c>
      <c r="G150" s="51">
        <v>52000</v>
      </c>
    </row>
    <row r="151" spans="2:7" x14ac:dyDescent="0.3">
      <c r="B151" s="45" t="s">
        <v>419</v>
      </c>
      <c r="C151" s="51">
        <v>7500</v>
      </c>
      <c r="D151" s="48" t="s">
        <v>355</v>
      </c>
      <c r="E151" s="48" t="s">
        <v>355</v>
      </c>
      <c r="F151" s="48" t="s">
        <v>355</v>
      </c>
      <c r="G151" s="48" t="s">
        <v>355</v>
      </c>
    </row>
    <row r="152" spans="2:7" x14ac:dyDescent="0.3">
      <c r="B152" s="45" t="s">
        <v>389</v>
      </c>
      <c r="C152" s="51">
        <v>48900</v>
      </c>
      <c r="D152" s="51">
        <v>31900</v>
      </c>
      <c r="E152" s="51">
        <v>41800</v>
      </c>
      <c r="F152" s="51">
        <v>44900</v>
      </c>
      <c r="G152" s="51">
        <v>44700</v>
      </c>
    </row>
    <row r="153" spans="2:7" x14ac:dyDescent="0.3">
      <c r="B153" s="45" t="s">
        <v>390</v>
      </c>
      <c r="C153" s="51">
        <v>120200</v>
      </c>
      <c r="D153" s="51">
        <v>121700</v>
      </c>
      <c r="E153" s="51">
        <v>126400</v>
      </c>
      <c r="F153" s="51">
        <v>130000</v>
      </c>
      <c r="G153" s="51">
        <v>102800</v>
      </c>
    </row>
    <row r="154" spans="2:7" x14ac:dyDescent="0.3">
      <c r="B154" s="45" t="s">
        <v>391</v>
      </c>
      <c r="C154" s="51">
        <v>5974</v>
      </c>
      <c r="D154" s="51">
        <v>7462</v>
      </c>
      <c r="E154" s="51">
        <v>8526</v>
      </c>
      <c r="F154" s="51">
        <v>9084</v>
      </c>
      <c r="G154" s="51">
        <v>9600</v>
      </c>
    </row>
    <row r="155" spans="2:7" x14ac:dyDescent="0.3">
      <c r="B155" s="45" t="s">
        <v>392</v>
      </c>
      <c r="C155" s="51">
        <v>3100</v>
      </c>
      <c r="D155" s="51">
        <v>3900</v>
      </c>
      <c r="E155" s="51">
        <v>4600</v>
      </c>
      <c r="F155" s="51">
        <v>8400</v>
      </c>
      <c r="G155" s="51">
        <v>13500</v>
      </c>
    </row>
    <row r="156" spans="2:7" x14ac:dyDescent="0.3">
      <c r="B156" s="45" t="s">
        <v>393</v>
      </c>
      <c r="C156" s="48" t="s">
        <v>355</v>
      </c>
      <c r="D156" s="48" t="s">
        <v>355</v>
      </c>
      <c r="E156" s="48" t="s">
        <v>355</v>
      </c>
      <c r="F156" s="48" t="s">
        <v>355</v>
      </c>
      <c r="G156" s="51">
        <v>1260000</v>
      </c>
    </row>
    <row r="157" spans="2:7" x14ac:dyDescent="0.3">
      <c r="B157" s="45" t="s">
        <v>394</v>
      </c>
      <c r="C157" s="48" t="s">
        <v>420</v>
      </c>
      <c r="D157" s="48" t="s">
        <v>420</v>
      </c>
      <c r="E157" s="48" t="s">
        <v>421</v>
      </c>
      <c r="F157" s="48" t="s">
        <v>420</v>
      </c>
      <c r="G157" s="48" t="s">
        <v>395</v>
      </c>
    </row>
    <row r="158" spans="2:7" x14ac:dyDescent="0.3">
      <c r="B158" s="45" t="s">
        <v>396</v>
      </c>
      <c r="C158" s="48" t="s">
        <v>422</v>
      </c>
      <c r="D158" s="48" t="s">
        <v>422</v>
      </c>
      <c r="E158" s="48" t="s">
        <v>422</v>
      </c>
      <c r="F158" s="48" t="s">
        <v>397</v>
      </c>
      <c r="G158" s="48" t="s">
        <v>397</v>
      </c>
    </row>
    <row r="159" spans="2:7" x14ac:dyDescent="0.3">
      <c r="B159" s="44" t="s">
        <v>423</v>
      </c>
      <c r="C159" s="48"/>
      <c r="D159" s="48"/>
      <c r="E159" s="48"/>
      <c r="F159" s="48"/>
      <c r="G159" s="48"/>
    </row>
    <row r="160" spans="2:7" x14ac:dyDescent="0.3">
      <c r="B160" s="45" t="s">
        <v>424</v>
      </c>
      <c r="C160" s="51">
        <v>200</v>
      </c>
      <c r="D160" s="51">
        <v>600</v>
      </c>
      <c r="E160" s="51">
        <v>300</v>
      </c>
      <c r="F160" s="51">
        <v>5000</v>
      </c>
      <c r="G160" s="51">
        <v>6300</v>
      </c>
    </row>
    <row r="161" spans="2:7" x14ac:dyDescent="0.3">
      <c r="B161" s="45" t="s">
        <v>425</v>
      </c>
      <c r="C161" s="51">
        <v>200</v>
      </c>
      <c r="D161" s="51">
        <v>600</v>
      </c>
      <c r="E161" s="51">
        <v>300</v>
      </c>
      <c r="F161" s="51">
        <v>5000</v>
      </c>
      <c r="G161" s="51">
        <v>6300</v>
      </c>
    </row>
    <row r="162" spans="2:7" x14ac:dyDescent="0.3">
      <c r="B162" s="44" t="s">
        <v>426</v>
      </c>
      <c r="C162" s="48"/>
      <c r="D162" s="48"/>
      <c r="E162" s="48"/>
      <c r="F162" s="48"/>
      <c r="G162" s="48"/>
    </row>
    <row r="163" spans="2:7" x14ac:dyDescent="0.3">
      <c r="B163" s="45" t="s">
        <v>427</v>
      </c>
      <c r="C163" s="48" t="s">
        <v>355</v>
      </c>
      <c r="D163" s="48" t="s">
        <v>355</v>
      </c>
      <c r="E163" s="48" t="s">
        <v>355</v>
      </c>
      <c r="F163" s="48" t="s">
        <v>355</v>
      </c>
      <c r="G163" s="51">
        <v>1000</v>
      </c>
    </row>
    <row r="164" spans="2:7" x14ac:dyDescent="0.3">
      <c r="B164" s="45" t="s">
        <v>428</v>
      </c>
      <c r="C164" s="48" t="s">
        <v>355</v>
      </c>
      <c r="D164" s="48" t="s">
        <v>355</v>
      </c>
      <c r="E164" s="48" t="s">
        <v>355</v>
      </c>
      <c r="F164" s="51">
        <v>1000</v>
      </c>
      <c r="G164" s="51">
        <v>1000</v>
      </c>
    </row>
    <row r="165" spans="2:7" x14ac:dyDescent="0.3">
      <c r="B165" s="45" t="s">
        <v>429</v>
      </c>
      <c r="C165" s="48" t="s">
        <v>355</v>
      </c>
      <c r="D165" s="48" t="s">
        <v>355</v>
      </c>
      <c r="E165" s="48" t="s">
        <v>355</v>
      </c>
      <c r="F165" s="48" t="s">
        <v>355</v>
      </c>
      <c r="G165" s="51">
        <v>700</v>
      </c>
    </row>
    <row r="166" spans="2:7" x14ac:dyDescent="0.3">
      <c r="B166" s="45" t="s">
        <v>430</v>
      </c>
      <c r="C166" s="48" t="s">
        <v>355</v>
      </c>
      <c r="D166" s="48" t="s">
        <v>355</v>
      </c>
      <c r="E166" s="48" t="s">
        <v>355</v>
      </c>
      <c r="F166" s="51">
        <v>1000</v>
      </c>
      <c r="G166" s="51">
        <v>2700</v>
      </c>
    </row>
    <row r="167" spans="2:7" x14ac:dyDescent="0.3">
      <c r="B167" s="44" t="s">
        <v>431</v>
      </c>
      <c r="C167" s="48"/>
      <c r="D167" s="48"/>
      <c r="E167" s="48"/>
      <c r="F167" s="48"/>
      <c r="G167" s="48"/>
    </row>
    <row r="168" spans="2:7" x14ac:dyDescent="0.3">
      <c r="B168" s="45" t="s">
        <v>399</v>
      </c>
      <c r="C168" s="51">
        <v>1719100</v>
      </c>
      <c r="D168" s="51">
        <v>1952400</v>
      </c>
      <c r="E168" s="51">
        <v>2011000</v>
      </c>
      <c r="F168" s="51">
        <v>2178300</v>
      </c>
      <c r="G168" s="51">
        <v>2327300</v>
      </c>
    </row>
    <row r="169" spans="2:7" x14ac:dyDescent="0.3">
      <c r="B169" s="45" t="s">
        <v>400</v>
      </c>
      <c r="C169" s="51">
        <v>1719100</v>
      </c>
      <c r="D169" s="51">
        <v>1952400</v>
      </c>
      <c r="E169" s="51">
        <v>2011000</v>
      </c>
      <c r="F169" s="51">
        <v>2178300</v>
      </c>
      <c r="G169" s="51">
        <v>2327300</v>
      </c>
    </row>
    <row r="170" spans="2:7" x14ac:dyDescent="0.3">
      <c r="B170" s="45" t="s">
        <v>401</v>
      </c>
      <c r="C170" s="51">
        <v>657600</v>
      </c>
      <c r="D170" s="51">
        <v>1248900</v>
      </c>
      <c r="E170" s="51">
        <v>1140000</v>
      </c>
      <c r="F170" s="51">
        <v>1160000</v>
      </c>
      <c r="G170" s="51">
        <v>1200000</v>
      </c>
    </row>
    <row r="171" spans="2:7" x14ac:dyDescent="0.3">
      <c r="B171" s="45" t="s">
        <v>432</v>
      </c>
      <c r="C171" s="48" t="s">
        <v>355</v>
      </c>
      <c r="D171" s="51">
        <v>6000</v>
      </c>
      <c r="E171" s="51">
        <v>10600</v>
      </c>
      <c r="F171" s="51">
        <v>14900</v>
      </c>
      <c r="G171" s="48" t="s">
        <v>355</v>
      </c>
    </row>
    <row r="172" spans="2:7" x14ac:dyDescent="0.3">
      <c r="B172" s="45" t="s">
        <v>402</v>
      </c>
      <c r="C172" s="51">
        <v>657600</v>
      </c>
      <c r="D172" s="51">
        <v>1254900</v>
      </c>
      <c r="E172" s="51">
        <v>1150600</v>
      </c>
      <c r="F172" s="51">
        <v>1174900</v>
      </c>
      <c r="G172" s="51">
        <v>1200000</v>
      </c>
    </row>
    <row r="173" spans="2:7" x14ac:dyDescent="0.3">
      <c r="B173" s="45" t="s">
        <v>403</v>
      </c>
      <c r="C173" s="48" t="s">
        <v>355</v>
      </c>
      <c r="D173" s="51">
        <v>-600</v>
      </c>
      <c r="E173" s="51">
        <v>-4600</v>
      </c>
      <c r="F173" s="51">
        <v>-4300</v>
      </c>
      <c r="G173" s="51">
        <v>-9000</v>
      </c>
    </row>
  </sheetData>
  <mergeCells count="5">
    <mergeCell ref="B1:E1"/>
    <mergeCell ref="B12:F12"/>
    <mergeCell ref="B2:M2"/>
    <mergeCell ref="B83:M83"/>
    <mergeCell ref="B93:G93"/>
  </mergeCells>
  <pageMargins left="0.7" right="0.7" top="0.75" bottom="0.75" header="0.3" footer="0.3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2EF91-4FBC-4B29-9457-EF99AAF93CFA}">
  <sheetPr codeName="Sheet5"/>
  <dimension ref="B2:S379"/>
  <sheetViews>
    <sheetView showGridLines="0" zoomScale="90" zoomScaleNormal="90" workbookViewId="0">
      <selection activeCell="B2" sqref="B2"/>
    </sheetView>
  </sheetViews>
  <sheetFormatPr defaultRowHeight="14.4" x14ac:dyDescent="0.3"/>
  <cols>
    <col min="1" max="1" width="4.6640625" customWidth="1"/>
    <col min="2" max="2" width="11.6640625" bestFit="1" customWidth="1"/>
    <col min="3" max="3" width="25.6640625" bestFit="1" customWidth="1"/>
    <col min="4" max="4" width="20.109375" bestFit="1" customWidth="1"/>
    <col min="5" max="5" width="23.6640625" bestFit="1" customWidth="1"/>
    <col min="6" max="7" width="5.6640625" bestFit="1" customWidth="1"/>
    <col min="11" max="11" width="15.6640625" bestFit="1" customWidth="1"/>
    <col min="14" max="14" width="28.33203125" bestFit="1" customWidth="1"/>
  </cols>
  <sheetData>
    <row r="2" spans="2:19" x14ac:dyDescent="0.3">
      <c r="B2" s="37" t="s">
        <v>433</v>
      </c>
      <c r="C2" s="38" t="s">
        <v>434</v>
      </c>
    </row>
    <row r="3" spans="2:19" x14ac:dyDescent="0.3">
      <c r="B3" s="39">
        <v>45995</v>
      </c>
      <c r="C3" s="40">
        <v>69.11</v>
      </c>
      <c r="D3" s="41"/>
    </row>
    <row r="4" spans="2:19" x14ac:dyDescent="0.3">
      <c r="B4" s="39">
        <v>45994</v>
      </c>
      <c r="C4" s="40">
        <v>69.099999999999994</v>
      </c>
      <c r="D4" s="41"/>
      <c r="N4" s="33" t="s">
        <v>435</v>
      </c>
    </row>
    <row r="5" spans="2:19" x14ac:dyDescent="0.3">
      <c r="B5" s="39">
        <v>45993</v>
      </c>
      <c r="C5" s="40">
        <v>69.11</v>
      </c>
      <c r="D5" s="41"/>
    </row>
    <row r="6" spans="2:19" x14ac:dyDescent="0.3">
      <c r="B6" s="39">
        <v>45992</v>
      </c>
      <c r="C6" s="40">
        <v>69.12</v>
      </c>
      <c r="D6" s="41"/>
      <c r="O6" t="s">
        <v>436</v>
      </c>
      <c r="S6" s="33" t="s">
        <v>437</v>
      </c>
    </row>
    <row r="7" spans="2:19" x14ac:dyDescent="0.3">
      <c r="B7" s="39">
        <v>45989</v>
      </c>
      <c r="C7" s="40">
        <v>69.099999999999994</v>
      </c>
      <c r="D7" s="41"/>
      <c r="N7" t="s">
        <v>438</v>
      </c>
      <c r="O7">
        <v>1318.3</v>
      </c>
      <c r="R7" t="s">
        <v>439</v>
      </c>
      <c r="S7">
        <v>1573.7</v>
      </c>
    </row>
    <row r="8" spans="2:19" x14ac:dyDescent="0.3">
      <c r="B8" s="39">
        <v>45987</v>
      </c>
      <c r="C8" s="41">
        <v>69</v>
      </c>
      <c r="D8" s="41"/>
      <c r="N8" t="s">
        <v>440</v>
      </c>
      <c r="O8">
        <v>199</v>
      </c>
      <c r="R8" t="s">
        <v>441</v>
      </c>
      <c r="S8">
        <v>102.9</v>
      </c>
    </row>
    <row r="9" spans="2:19" x14ac:dyDescent="0.3">
      <c r="B9" s="39">
        <v>45986</v>
      </c>
      <c r="C9" s="40">
        <v>69.069999999999993</v>
      </c>
      <c r="D9" s="41"/>
      <c r="N9" t="s">
        <v>442</v>
      </c>
      <c r="O9">
        <v>242.7</v>
      </c>
      <c r="R9" t="s">
        <v>443</v>
      </c>
      <c r="S9">
        <v>83.4</v>
      </c>
    </row>
    <row r="10" spans="2:19" x14ac:dyDescent="0.3">
      <c r="B10" s="39">
        <v>45985</v>
      </c>
      <c r="C10" s="40">
        <v>68.95</v>
      </c>
      <c r="D10" s="41"/>
      <c r="N10" t="s">
        <v>195</v>
      </c>
      <c r="O10">
        <f>SUM(O7:O9)</f>
        <v>1760</v>
      </c>
    </row>
    <row r="11" spans="2:19" x14ac:dyDescent="0.3">
      <c r="B11" s="39">
        <v>45982</v>
      </c>
      <c r="C11" s="40">
        <v>68.849999999999994</v>
      </c>
      <c r="D11" s="41"/>
    </row>
    <row r="12" spans="2:19" x14ac:dyDescent="0.3">
      <c r="B12" s="39">
        <v>45981</v>
      </c>
      <c r="C12" s="40">
        <v>68.87</v>
      </c>
      <c r="D12" s="41"/>
    </row>
    <row r="13" spans="2:19" x14ac:dyDescent="0.3">
      <c r="B13" s="39">
        <v>45980</v>
      </c>
      <c r="C13" s="40">
        <v>68.97</v>
      </c>
      <c r="D13" s="41"/>
    </row>
    <row r="14" spans="2:19" x14ac:dyDescent="0.3">
      <c r="B14" s="39">
        <v>45979</v>
      </c>
      <c r="C14" s="40">
        <v>68.97</v>
      </c>
      <c r="D14" s="41"/>
    </row>
    <row r="15" spans="2:19" x14ac:dyDescent="0.3">
      <c r="B15" s="39">
        <v>45978</v>
      </c>
      <c r="C15" s="40">
        <v>68.83</v>
      </c>
      <c r="D15" s="41"/>
    </row>
    <row r="16" spans="2:19" x14ac:dyDescent="0.3">
      <c r="B16" s="39">
        <v>45975</v>
      </c>
      <c r="C16" s="41">
        <v>69</v>
      </c>
      <c r="D16" s="41"/>
    </row>
    <row r="17" spans="2:13" x14ac:dyDescent="0.3">
      <c r="B17" s="39">
        <v>45974</v>
      </c>
      <c r="C17" s="40">
        <v>68.91</v>
      </c>
      <c r="D17" s="41"/>
    </row>
    <row r="18" spans="2:13" x14ac:dyDescent="0.3">
      <c r="B18" s="39">
        <v>45973</v>
      </c>
      <c r="C18" s="40">
        <v>68.989999999999995</v>
      </c>
      <c r="D18" s="41"/>
    </row>
    <row r="19" spans="2:13" x14ac:dyDescent="0.3">
      <c r="B19" s="39">
        <v>45972</v>
      </c>
      <c r="C19" s="40">
        <v>68.8</v>
      </c>
      <c r="D19" s="41"/>
    </row>
    <row r="20" spans="2:13" x14ac:dyDescent="0.3">
      <c r="B20" s="39">
        <v>45971</v>
      </c>
      <c r="C20" s="40">
        <v>68.599999999999994</v>
      </c>
      <c r="D20" s="41"/>
    </row>
    <row r="21" spans="2:13" x14ac:dyDescent="0.3">
      <c r="B21" s="39">
        <v>45968</v>
      </c>
      <c r="C21" s="40">
        <v>68.349999999999994</v>
      </c>
      <c r="D21" s="41"/>
    </row>
    <row r="22" spans="2:13" x14ac:dyDescent="0.3">
      <c r="B22" s="39">
        <v>45967</v>
      </c>
      <c r="C22" s="40">
        <v>68.52</v>
      </c>
      <c r="D22" s="41"/>
    </row>
    <row r="23" spans="2:13" x14ac:dyDescent="0.3">
      <c r="B23" s="39">
        <v>45966</v>
      </c>
      <c r="C23" s="40">
        <v>68.540000000000006</v>
      </c>
      <c r="D23" s="41"/>
    </row>
    <row r="24" spans="2:13" x14ac:dyDescent="0.3">
      <c r="B24" s="39">
        <v>45965</v>
      </c>
      <c r="C24" s="40">
        <v>68.61</v>
      </c>
      <c r="D24" s="41"/>
    </row>
    <row r="25" spans="2:13" x14ac:dyDescent="0.3">
      <c r="B25" s="39">
        <v>45964</v>
      </c>
      <c r="C25" s="40">
        <v>68.69</v>
      </c>
      <c r="D25" s="41"/>
    </row>
    <row r="26" spans="2:13" x14ac:dyDescent="0.3">
      <c r="B26" s="39">
        <v>45961</v>
      </c>
      <c r="C26" s="40">
        <v>68.739999999999995</v>
      </c>
      <c r="D26" s="41"/>
    </row>
    <row r="27" spans="2:13" x14ac:dyDescent="0.3">
      <c r="B27" s="39">
        <v>45960</v>
      </c>
      <c r="C27" s="40">
        <v>68.45</v>
      </c>
      <c r="D27" s="41"/>
    </row>
    <row r="28" spans="2:13" x14ac:dyDescent="0.3">
      <c r="B28" s="39">
        <v>45959</v>
      </c>
      <c r="C28" s="40">
        <v>68.36</v>
      </c>
      <c r="D28" s="41"/>
    </row>
    <row r="29" spans="2:13" x14ac:dyDescent="0.3">
      <c r="B29" s="39">
        <v>45958</v>
      </c>
      <c r="C29" s="40">
        <v>68.400000000000006</v>
      </c>
      <c r="D29" s="41"/>
    </row>
    <row r="30" spans="2:13" x14ac:dyDescent="0.3">
      <c r="B30" s="39">
        <v>45957</v>
      </c>
      <c r="C30" s="40">
        <v>68.45</v>
      </c>
      <c r="D30" s="41"/>
      <c r="E30" s="33" t="s">
        <v>444</v>
      </c>
      <c r="M30" t="s">
        <v>445</v>
      </c>
    </row>
    <row r="31" spans="2:13" x14ac:dyDescent="0.3">
      <c r="B31" s="39">
        <v>45954</v>
      </c>
      <c r="C31" s="40">
        <v>68.48</v>
      </c>
      <c r="D31" s="41"/>
    </row>
    <row r="32" spans="2:13" x14ac:dyDescent="0.3">
      <c r="B32" s="39">
        <v>45953</v>
      </c>
      <c r="C32" s="40">
        <v>68.5</v>
      </c>
      <c r="D32" s="41"/>
      <c r="F32">
        <v>2024</v>
      </c>
      <c r="G32">
        <v>2029</v>
      </c>
      <c r="L32">
        <v>2025</v>
      </c>
      <c r="M32">
        <v>2030</v>
      </c>
    </row>
    <row r="33" spans="2:13" x14ac:dyDescent="0.3">
      <c r="B33" s="39">
        <v>45952</v>
      </c>
      <c r="C33" s="40">
        <v>68.5</v>
      </c>
      <c r="D33" s="41"/>
      <c r="E33" t="s">
        <v>446</v>
      </c>
      <c r="F33">
        <v>58.7</v>
      </c>
      <c r="G33">
        <v>81.057000000000002</v>
      </c>
      <c r="K33" t="s">
        <v>447</v>
      </c>
      <c r="L33">
        <v>428.78</v>
      </c>
      <c r="M33">
        <v>887</v>
      </c>
    </row>
    <row r="34" spans="2:13" x14ac:dyDescent="0.3">
      <c r="B34" s="39">
        <v>45951</v>
      </c>
      <c r="C34" s="40">
        <v>68.34</v>
      </c>
      <c r="D34" s="41"/>
      <c r="E34" t="s">
        <v>448</v>
      </c>
      <c r="F34" s="55">
        <f>(G33/F33)^(1/(G32-F32))-1</f>
        <v>6.6670992727893896E-2</v>
      </c>
      <c r="K34" t="s">
        <v>448</v>
      </c>
      <c r="L34" s="55">
        <f>RATE(M32-L32,0,-L33,M33)</f>
        <v>0.15647918364638397</v>
      </c>
    </row>
    <row r="35" spans="2:13" x14ac:dyDescent="0.3">
      <c r="B35" s="39">
        <v>45950</v>
      </c>
      <c r="C35" s="40">
        <v>68.28</v>
      </c>
      <c r="D35" s="41"/>
    </row>
    <row r="36" spans="2:13" x14ac:dyDescent="0.3">
      <c r="B36" s="39">
        <v>45947</v>
      </c>
      <c r="C36" s="40">
        <v>68.260000000000005</v>
      </c>
      <c r="D36" s="41"/>
    </row>
    <row r="37" spans="2:13" x14ac:dyDescent="0.3">
      <c r="B37" s="39">
        <v>45946</v>
      </c>
      <c r="C37" s="40">
        <v>68.319999999999993</v>
      </c>
      <c r="D37" s="41"/>
    </row>
    <row r="38" spans="2:13" x14ac:dyDescent="0.3">
      <c r="B38" s="39">
        <v>45945</v>
      </c>
      <c r="C38" s="40">
        <v>68.28</v>
      </c>
      <c r="D38" s="41"/>
    </row>
    <row r="39" spans="2:13" x14ac:dyDescent="0.3">
      <c r="B39" s="39">
        <v>45944</v>
      </c>
      <c r="C39" s="40">
        <v>68.2</v>
      </c>
      <c r="D39" s="41"/>
    </row>
    <row r="40" spans="2:13" x14ac:dyDescent="0.3">
      <c r="B40" s="39">
        <v>45943</v>
      </c>
      <c r="C40" s="40">
        <v>68.38</v>
      </c>
      <c r="D40" s="41"/>
    </row>
    <row r="41" spans="2:13" x14ac:dyDescent="0.3">
      <c r="B41" s="39">
        <v>45940</v>
      </c>
      <c r="C41" s="40">
        <v>68.11</v>
      </c>
      <c r="D41" s="41"/>
    </row>
    <row r="42" spans="2:13" x14ac:dyDescent="0.3">
      <c r="B42" s="39">
        <v>45939</v>
      </c>
      <c r="C42" s="40">
        <v>68.52</v>
      </c>
      <c r="D42" s="41"/>
    </row>
    <row r="43" spans="2:13" x14ac:dyDescent="0.3">
      <c r="B43" s="39">
        <v>45938</v>
      </c>
      <c r="C43" s="40">
        <v>68.61</v>
      </c>
      <c r="D43" s="41"/>
    </row>
    <row r="44" spans="2:13" x14ac:dyDescent="0.3">
      <c r="B44" s="39">
        <v>45937</v>
      </c>
      <c r="C44" s="40">
        <v>68.989999999999995</v>
      </c>
      <c r="D44" s="41"/>
    </row>
    <row r="45" spans="2:13" x14ac:dyDescent="0.3">
      <c r="B45" s="39">
        <v>45936</v>
      </c>
      <c r="C45" s="40">
        <v>69.010000000000005</v>
      </c>
      <c r="D45" s="41"/>
    </row>
    <row r="46" spans="2:13" x14ac:dyDescent="0.3">
      <c r="B46" s="39">
        <v>45933</v>
      </c>
      <c r="C46" s="40">
        <v>68.959999999999994</v>
      </c>
      <c r="D46" s="41"/>
    </row>
    <row r="47" spans="2:13" x14ac:dyDescent="0.3">
      <c r="B47" s="39">
        <v>45932</v>
      </c>
      <c r="C47" s="40">
        <v>68.989999999999995</v>
      </c>
      <c r="D47" s="41"/>
    </row>
    <row r="48" spans="2:13" x14ac:dyDescent="0.3">
      <c r="B48" s="39">
        <v>45931</v>
      </c>
      <c r="C48" s="40">
        <v>68.95</v>
      </c>
      <c r="D48" s="41"/>
    </row>
    <row r="49" spans="2:4" x14ac:dyDescent="0.3">
      <c r="B49" s="39">
        <v>45930</v>
      </c>
      <c r="C49" s="40">
        <v>68.89</v>
      </c>
      <c r="D49" s="41"/>
    </row>
    <row r="50" spans="2:4" x14ac:dyDescent="0.3">
      <c r="B50" s="39">
        <v>45929</v>
      </c>
      <c r="C50" s="40">
        <v>68.83</v>
      </c>
      <c r="D50" s="41"/>
    </row>
    <row r="51" spans="2:4" x14ac:dyDescent="0.3">
      <c r="B51" s="39">
        <v>45926</v>
      </c>
      <c r="C51" s="40">
        <v>68.86</v>
      </c>
      <c r="D51" s="41"/>
    </row>
    <row r="52" spans="2:4" x14ac:dyDescent="0.3">
      <c r="B52" s="39">
        <v>45925</v>
      </c>
      <c r="C52" s="40">
        <v>68.849999999999994</v>
      </c>
      <c r="D52" s="41"/>
    </row>
    <row r="53" spans="2:4" x14ac:dyDescent="0.3">
      <c r="B53" s="39">
        <v>45924</v>
      </c>
      <c r="C53" s="40">
        <v>68.83</v>
      </c>
      <c r="D53" s="41"/>
    </row>
    <row r="54" spans="2:4" x14ac:dyDescent="0.3">
      <c r="B54" s="39">
        <v>45923</v>
      </c>
      <c r="C54" s="40">
        <v>68.819999999999993</v>
      </c>
      <c r="D54" s="41"/>
    </row>
    <row r="55" spans="2:4" x14ac:dyDescent="0.3">
      <c r="B55" s="39">
        <v>45922</v>
      </c>
      <c r="C55" s="40">
        <v>68.75</v>
      </c>
      <c r="D55" s="41"/>
    </row>
    <row r="56" spans="2:4" x14ac:dyDescent="0.3">
      <c r="B56" s="39">
        <v>45919</v>
      </c>
      <c r="C56" s="40">
        <v>68.8</v>
      </c>
      <c r="D56" s="41"/>
    </row>
    <row r="57" spans="2:4" x14ac:dyDescent="0.3">
      <c r="B57" s="39">
        <v>45918</v>
      </c>
      <c r="C57" s="40">
        <v>68.95</v>
      </c>
      <c r="D57" s="41"/>
    </row>
    <row r="58" spans="2:4" x14ac:dyDescent="0.3">
      <c r="B58" s="39">
        <v>45917</v>
      </c>
      <c r="C58" s="40">
        <v>68.41</v>
      </c>
      <c r="D58" s="41"/>
    </row>
    <row r="59" spans="2:4" x14ac:dyDescent="0.3">
      <c r="B59" s="39">
        <v>45916</v>
      </c>
      <c r="C59" s="40">
        <v>69.069999999999993</v>
      </c>
      <c r="D59" s="41"/>
    </row>
    <row r="60" spans="2:4" x14ac:dyDescent="0.3">
      <c r="B60" s="39">
        <v>45915</v>
      </c>
      <c r="C60" s="40">
        <v>68.91</v>
      </c>
      <c r="D60" s="41"/>
    </row>
    <row r="61" spans="2:4" x14ac:dyDescent="0.3">
      <c r="B61" s="39">
        <v>45912</v>
      </c>
      <c r="C61" s="40">
        <v>68.989999999999995</v>
      </c>
      <c r="D61" s="41"/>
    </row>
    <row r="62" spans="2:4" x14ac:dyDescent="0.3">
      <c r="B62" s="39">
        <v>45911</v>
      </c>
      <c r="C62" s="40">
        <v>69.02</v>
      </c>
      <c r="D62" s="41"/>
    </row>
    <row r="63" spans="2:4" x14ac:dyDescent="0.3">
      <c r="B63" s="39">
        <v>45910</v>
      </c>
      <c r="C63" s="40">
        <v>68.89</v>
      </c>
      <c r="D63" s="41"/>
    </row>
    <row r="64" spans="2:4" x14ac:dyDescent="0.3">
      <c r="B64" s="39">
        <v>45909</v>
      </c>
      <c r="C64" s="40">
        <v>68.900000000000006</v>
      </c>
      <c r="D64" s="41"/>
    </row>
    <row r="65" spans="2:4" x14ac:dyDescent="0.3">
      <c r="B65" s="39">
        <v>45908</v>
      </c>
      <c r="C65" s="40">
        <v>69.34</v>
      </c>
      <c r="D65" s="41"/>
    </row>
    <row r="66" spans="2:4" x14ac:dyDescent="0.3">
      <c r="B66" s="39">
        <v>45905</v>
      </c>
      <c r="C66" s="41">
        <v>69</v>
      </c>
      <c r="D66" s="41"/>
    </row>
    <row r="67" spans="2:4" x14ac:dyDescent="0.3">
      <c r="B67" s="39">
        <v>45904</v>
      </c>
      <c r="C67" s="40">
        <v>69.55</v>
      </c>
      <c r="D67" s="41"/>
    </row>
    <row r="68" spans="2:4" x14ac:dyDescent="0.3">
      <c r="B68" s="39">
        <v>45903</v>
      </c>
      <c r="C68" s="40">
        <v>69.540000000000006</v>
      </c>
      <c r="D68" s="41"/>
    </row>
    <row r="69" spans="2:4" x14ac:dyDescent="0.3">
      <c r="B69" s="39">
        <v>45902</v>
      </c>
      <c r="C69" s="40">
        <v>69.5</v>
      </c>
      <c r="D69" s="41"/>
    </row>
    <row r="70" spans="2:4" x14ac:dyDescent="0.3">
      <c r="B70" s="39">
        <v>45898</v>
      </c>
      <c r="C70" s="40">
        <v>69.77</v>
      </c>
      <c r="D70" s="41"/>
    </row>
    <row r="71" spans="2:4" x14ac:dyDescent="0.3">
      <c r="B71" s="39">
        <v>45897</v>
      </c>
      <c r="C71" s="40">
        <v>69.7</v>
      </c>
      <c r="D71" s="41"/>
    </row>
    <row r="72" spans="2:4" x14ac:dyDescent="0.3">
      <c r="B72" s="39">
        <v>45896</v>
      </c>
      <c r="C72" s="40">
        <v>69.55</v>
      </c>
      <c r="D72" s="41"/>
    </row>
    <row r="73" spans="2:4" x14ac:dyDescent="0.3">
      <c r="B73" s="39">
        <v>45895</v>
      </c>
      <c r="C73" s="40">
        <v>69.569999999999993</v>
      </c>
      <c r="D73" s="41"/>
    </row>
    <row r="74" spans="2:4" x14ac:dyDescent="0.3">
      <c r="B74" s="39">
        <v>45894</v>
      </c>
      <c r="C74" s="40">
        <v>69.489999999999995</v>
      </c>
      <c r="D74" s="41"/>
    </row>
    <row r="75" spans="2:4" x14ac:dyDescent="0.3">
      <c r="B75" s="39">
        <v>45891</v>
      </c>
      <c r="C75" s="40">
        <v>69.2</v>
      </c>
      <c r="D75" s="41"/>
    </row>
    <row r="76" spans="2:4" x14ac:dyDescent="0.3">
      <c r="B76" s="39">
        <v>45890</v>
      </c>
      <c r="C76" s="41">
        <v>69</v>
      </c>
      <c r="D76" s="41"/>
    </row>
    <row r="77" spans="2:4" x14ac:dyDescent="0.3">
      <c r="B77" s="39">
        <v>45889</v>
      </c>
      <c r="C77" s="40">
        <v>67.400000000000006</v>
      </c>
      <c r="D77" s="41"/>
    </row>
    <row r="78" spans="2:4" x14ac:dyDescent="0.3">
      <c r="B78" s="39">
        <v>45888</v>
      </c>
      <c r="C78" s="40">
        <v>65.47</v>
      </c>
      <c r="D78" s="41"/>
    </row>
    <row r="79" spans="2:4" x14ac:dyDescent="0.3">
      <c r="B79" s="39">
        <v>45887</v>
      </c>
      <c r="C79" s="40">
        <v>66.62</v>
      </c>
      <c r="D79" s="41"/>
    </row>
    <row r="80" spans="2:4" x14ac:dyDescent="0.3">
      <c r="B80" s="39">
        <v>45884</v>
      </c>
      <c r="C80" s="40">
        <v>52.88</v>
      </c>
      <c r="D80" s="41"/>
    </row>
    <row r="81" spans="2:4" x14ac:dyDescent="0.3">
      <c r="B81" s="39">
        <v>45883</v>
      </c>
      <c r="C81" s="40">
        <v>53.41</v>
      </c>
      <c r="D81" s="41"/>
    </row>
    <row r="82" spans="2:4" x14ac:dyDescent="0.3">
      <c r="B82" s="39">
        <v>45882</v>
      </c>
      <c r="C82" s="40">
        <v>53.43</v>
      </c>
      <c r="D82" s="41"/>
    </row>
    <row r="83" spans="2:4" x14ac:dyDescent="0.3">
      <c r="B83" s="39">
        <v>45881</v>
      </c>
      <c r="C83" s="40">
        <v>51.56</v>
      </c>
      <c r="D83" s="41"/>
    </row>
    <row r="84" spans="2:4" x14ac:dyDescent="0.3">
      <c r="B84" s="39">
        <v>45880</v>
      </c>
      <c r="C84" s="40">
        <v>49.92</v>
      </c>
      <c r="D84" s="41"/>
    </row>
    <row r="85" spans="2:4" x14ac:dyDescent="0.3">
      <c r="B85" s="39">
        <v>45877</v>
      </c>
      <c r="C85" s="40">
        <v>51.17</v>
      </c>
      <c r="D85" s="41"/>
    </row>
    <row r="86" spans="2:4" x14ac:dyDescent="0.3">
      <c r="B86" s="39">
        <v>45876</v>
      </c>
      <c r="C86" s="40">
        <v>52.8</v>
      </c>
      <c r="D86" s="41"/>
    </row>
    <row r="87" spans="2:4" x14ac:dyDescent="0.3">
      <c r="B87" s="39">
        <v>45875</v>
      </c>
      <c r="C87" s="40">
        <v>53.4</v>
      </c>
      <c r="D87" s="41"/>
    </row>
    <row r="88" spans="2:4" x14ac:dyDescent="0.3">
      <c r="B88" s="39">
        <v>45874</v>
      </c>
      <c r="C88" s="40">
        <v>53.21</v>
      </c>
      <c r="D88" s="41"/>
    </row>
    <row r="89" spans="2:4" x14ac:dyDescent="0.3">
      <c r="B89" s="39">
        <v>45873</v>
      </c>
      <c r="C89" s="40">
        <v>55.14</v>
      </c>
      <c r="D89" s="41"/>
    </row>
    <row r="90" spans="2:4" x14ac:dyDescent="0.3">
      <c r="B90" s="39">
        <v>45870</v>
      </c>
      <c r="C90" s="40">
        <v>55.27</v>
      </c>
      <c r="D90" s="41"/>
    </row>
    <row r="91" spans="2:4" x14ac:dyDescent="0.3">
      <c r="B91" s="39">
        <v>45869</v>
      </c>
      <c r="C91" s="40">
        <v>57.67</v>
      </c>
      <c r="D91" s="41"/>
    </row>
    <row r="92" spans="2:4" x14ac:dyDescent="0.3">
      <c r="B92" s="39">
        <v>45868</v>
      </c>
      <c r="C92" s="41">
        <v>59</v>
      </c>
      <c r="D92" s="41"/>
    </row>
    <row r="93" spans="2:4" x14ac:dyDescent="0.3">
      <c r="B93" s="39">
        <v>45867</v>
      </c>
      <c r="C93" s="40">
        <v>59.49</v>
      </c>
      <c r="D93" s="41"/>
    </row>
    <row r="94" spans="2:4" x14ac:dyDescent="0.3">
      <c r="B94" s="39">
        <v>45866</v>
      </c>
      <c r="C94" s="40">
        <v>58.96</v>
      </c>
      <c r="D94" s="41"/>
    </row>
    <row r="95" spans="2:4" x14ac:dyDescent="0.3">
      <c r="B95" s="39">
        <v>45863</v>
      </c>
      <c r="C95" s="41">
        <v>60</v>
      </c>
      <c r="D95" s="41"/>
    </row>
    <row r="96" spans="2:4" x14ac:dyDescent="0.3">
      <c r="B96" s="39">
        <v>45862</v>
      </c>
      <c r="C96" s="40">
        <v>59.41</v>
      </c>
      <c r="D96" s="41"/>
    </row>
    <row r="97" spans="2:4" x14ac:dyDescent="0.3">
      <c r="B97" s="39">
        <v>45861</v>
      </c>
      <c r="C97" s="40">
        <v>59.21</v>
      </c>
      <c r="D97" s="41"/>
    </row>
    <row r="98" spans="2:4" x14ac:dyDescent="0.3">
      <c r="B98" s="39">
        <v>45860</v>
      </c>
      <c r="C98" s="40">
        <v>58.39</v>
      </c>
      <c r="D98" s="41"/>
    </row>
    <row r="99" spans="2:4" x14ac:dyDescent="0.3">
      <c r="B99" s="39">
        <v>45859</v>
      </c>
      <c r="C99" s="40">
        <v>57.4</v>
      </c>
      <c r="D99" s="41"/>
    </row>
    <row r="100" spans="2:4" x14ac:dyDescent="0.3">
      <c r="B100" s="39">
        <v>45856</v>
      </c>
      <c r="C100" s="40">
        <v>58.25</v>
      </c>
      <c r="D100" s="41"/>
    </row>
    <row r="101" spans="2:4" x14ac:dyDescent="0.3">
      <c r="B101" s="39">
        <v>45855</v>
      </c>
      <c r="C101" s="40">
        <v>57.63</v>
      </c>
      <c r="D101" s="41"/>
    </row>
    <row r="102" spans="2:4" x14ac:dyDescent="0.3">
      <c r="B102" s="39">
        <v>45854</v>
      </c>
      <c r="C102" s="40">
        <v>55.33</v>
      </c>
      <c r="D102" s="41"/>
    </row>
    <row r="103" spans="2:4" x14ac:dyDescent="0.3">
      <c r="B103" s="39">
        <v>45853</v>
      </c>
      <c r="C103" s="40">
        <v>54.24</v>
      </c>
      <c r="D103" s="41"/>
    </row>
    <row r="104" spans="2:4" x14ac:dyDescent="0.3">
      <c r="B104" s="39">
        <v>45852</v>
      </c>
      <c r="C104" s="40">
        <v>54.88</v>
      </c>
      <c r="D104" s="41"/>
    </row>
    <row r="105" spans="2:4" x14ac:dyDescent="0.3">
      <c r="B105" s="39">
        <v>45849</v>
      </c>
      <c r="C105" s="40">
        <v>55.25</v>
      </c>
      <c r="D105" s="41"/>
    </row>
    <row r="106" spans="2:4" x14ac:dyDescent="0.3">
      <c r="B106" s="39">
        <v>45848</v>
      </c>
      <c r="C106" s="40">
        <v>58.27</v>
      </c>
      <c r="D106" s="41"/>
    </row>
    <row r="107" spans="2:4" x14ac:dyDescent="0.3">
      <c r="B107" s="39">
        <v>45847</v>
      </c>
      <c r="C107" s="40">
        <v>59.06</v>
      </c>
      <c r="D107" s="41"/>
    </row>
    <row r="108" spans="2:4" x14ac:dyDescent="0.3">
      <c r="B108" s="39">
        <v>45846</v>
      </c>
      <c r="C108" s="40">
        <v>58.1</v>
      </c>
      <c r="D108" s="41"/>
    </row>
    <row r="109" spans="2:4" x14ac:dyDescent="0.3">
      <c r="B109" s="39">
        <v>45845</v>
      </c>
      <c r="C109" s="40">
        <v>56.6</v>
      </c>
      <c r="D109" s="41"/>
    </row>
    <row r="110" spans="2:4" x14ac:dyDescent="0.3">
      <c r="B110" s="39">
        <v>45841</v>
      </c>
      <c r="C110" s="40">
        <v>57.27</v>
      </c>
      <c r="D110" s="41"/>
    </row>
    <row r="111" spans="2:4" x14ac:dyDescent="0.3">
      <c r="B111" s="39">
        <v>45840</v>
      </c>
      <c r="C111" s="40">
        <v>55.5</v>
      </c>
      <c r="D111" s="41"/>
    </row>
    <row r="112" spans="2:4" x14ac:dyDescent="0.3">
      <c r="B112" s="39">
        <v>45839</v>
      </c>
      <c r="C112" s="40">
        <v>56.46</v>
      </c>
      <c r="D112" s="41"/>
    </row>
    <row r="113" spans="2:4" x14ac:dyDescent="0.3">
      <c r="B113" s="39">
        <v>45838</v>
      </c>
      <c r="C113" s="40">
        <v>55.39</v>
      </c>
      <c r="D113" s="41"/>
    </row>
    <row r="114" spans="2:4" x14ac:dyDescent="0.3">
      <c r="B114" s="39">
        <v>45835</v>
      </c>
      <c r="C114" s="40">
        <v>55.14</v>
      </c>
      <c r="D114" s="41"/>
    </row>
    <row r="115" spans="2:4" x14ac:dyDescent="0.3">
      <c r="B115" s="39">
        <v>45834</v>
      </c>
      <c r="C115" s="40">
        <v>55.12</v>
      </c>
      <c r="D115" s="41"/>
    </row>
    <row r="116" spans="2:4" x14ac:dyDescent="0.3">
      <c r="B116" s="39">
        <v>45833</v>
      </c>
      <c r="C116" s="41">
        <v>55</v>
      </c>
      <c r="D116" s="41"/>
    </row>
    <row r="117" spans="2:4" x14ac:dyDescent="0.3">
      <c r="B117" s="39">
        <v>45832</v>
      </c>
      <c r="C117" s="40">
        <v>57.75</v>
      </c>
      <c r="D117" s="41"/>
    </row>
    <row r="118" spans="2:4" x14ac:dyDescent="0.3">
      <c r="B118" s="39">
        <v>45831</v>
      </c>
      <c r="C118" s="40">
        <v>57.16</v>
      </c>
      <c r="D118" s="41"/>
    </row>
    <row r="119" spans="2:4" x14ac:dyDescent="0.3">
      <c r="B119" s="39">
        <v>45828</v>
      </c>
      <c r="C119" s="40">
        <v>56.57</v>
      </c>
      <c r="D119" s="41"/>
    </row>
    <row r="120" spans="2:4" x14ac:dyDescent="0.3">
      <c r="B120" s="39">
        <v>45826</v>
      </c>
      <c r="C120" s="40">
        <v>56.24</v>
      </c>
      <c r="D120" s="41"/>
    </row>
    <row r="121" spans="2:4" x14ac:dyDescent="0.3">
      <c r="B121" s="39">
        <v>45825</v>
      </c>
      <c r="C121" s="40">
        <v>56.87</v>
      </c>
      <c r="D121" s="41"/>
    </row>
    <row r="122" spans="2:4" x14ac:dyDescent="0.3">
      <c r="B122" s="39">
        <v>45824</v>
      </c>
      <c r="C122" s="40">
        <v>58.36</v>
      </c>
      <c r="D122" s="41"/>
    </row>
    <row r="123" spans="2:4" x14ac:dyDescent="0.3">
      <c r="B123" s="39">
        <v>45821</v>
      </c>
      <c r="C123" s="40">
        <v>57.08</v>
      </c>
      <c r="D123" s="41"/>
    </row>
    <row r="124" spans="2:4" x14ac:dyDescent="0.3">
      <c r="B124" s="39">
        <v>45820</v>
      </c>
      <c r="C124" s="40">
        <v>59.59</v>
      </c>
      <c r="D124" s="41"/>
    </row>
    <row r="125" spans="2:4" x14ac:dyDescent="0.3">
      <c r="B125" s="39">
        <v>45819</v>
      </c>
      <c r="C125" s="40">
        <v>60.65</v>
      </c>
      <c r="D125" s="41"/>
    </row>
    <row r="126" spans="2:4" x14ac:dyDescent="0.3">
      <c r="B126" s="39">
        <v>45818</v>
      </c>
      <c r="C126" s="40">
        <v>59.91</v>
      </c>
      <c r="D126" s="41"/>
    </row>
    <row r="127" spans="2:4" x14ac:dyDescent="0.3">
      <c r="B127" s="39">
        <v>45817</v>
      </c>
      <c r="C127" s="40">
        <v>59.16</v>
      </c>
      <c r="D127" s="41"/>
    </row>
    <row r="128" spans="2:4" x14ac:dyDescent="0.3">
      <c r="B128" s="39">
        <v>45814</v>
      </c>
      <c r="C128" s="40">
        <v>60.42</v>
      </c>
      <c r="D128" s="41"/>
    </row>
    <row r="129" spans="2:4" x14ac:dyDescent="0.3">
      <c r="B129" s="39">
        <v>45813</v>
      </c>
      <c r="C129" s="40">
        <v>59.18</v>
      </c>
      <c r="D129" s="41"/>
    </row>
    <row r="130" spans="2:4" x14ac:dyDescent="0.3">
      <c r="B130" s="39">
        <v>45812</v>
      </c>
      <c r="C130" s="40">
        <v>59.9</v>
      </c>
      <c r="D130" s="41"/>
    </row>
    <row r="131" spans="2:4" x14ac:dyDescent="0.3">
      <c r="B131" s="39">
        <v>45811</v>
      </c>
      <c r="C131" s="40">
        <v>58.94</v>
      </c>
      <c r="D131" s="41"/>
    </row>
    <row r="132" spans="2:4" x14ac:dyDescent="0.3">
      <c r="B132" s="39">
        <v>45810</v>
      </c>
      <c r="C132" s="40">
        <v>58.23</v>
      </c>
      <c r="D132" s="41"/>
    </row>
    <row r="133" spans="2:4" x14ac:dyDescent="0.3">
      <c r="B133" s="39">
        <v>45807</v>
      </c>
      <c r="C133" s="40">
        <v>59.08</v>
      </c>
      <c r="D133" s="41"/>
    </row>
    <row r="134" spans="2:4" x14ac:dyDescent="0.3">
      <c r="B134" s="39">
        <v>45806</v>
      </c>
      <c r="C134" s="40">
        <v>57.7</v>
      </c>
      <c r="D134" s="41"/>
    </row>
    <row r="135" spans="2:4" x14ac:dyDescent="0.3">
      <c r="B135" s="39">
        <v>45805</v>
      </c>
      <c r="C135" s="40">
        <v>57.68</v>
      </c>
      <c r="D135" s="41"/>
    </row>
    <row r="136" spans="2:4" x14ac:dyDescent="0.3">
      <c r="B136" s="39">
        <v>45804</v>
      </c>
      <c r="C136" s="40">
        <v>58.43</v>
      </c>
      <c r="D136" s="41"/>
    </row>
    <row r="137" spans="2:4" x14ac:dyDescent="0.3">
      <c r="B137" s="39">
        <v>45800</v>
      </c>
      <c r="C137" s="40">
        <v>57.23</v>
      </c>
      <c r="D137" s="41"/>
    </row>
    <row r="138" spans="2:4" x14ac:dyDescent="0.3">
      <c r="B138" s="39">
        <v>45799</v>
      </c>
      <c r="C138" s="40">
        <v>58.35</v>
      </c>
      <c r="D138" s="41"/>
    </row>
    <row r="139" spans="2:4" x14ac:dyDescent="0.3">
      <c r="B139" s="39">
        <v>45798</v>
      </c>
      <c r="C139" s="40">
        <v>57.55</v>
      </c>
      <c r="D139" s="41"/>
    </row>
    <row r="140" spans="2:4" x14ac:dyDescent="0.3">
      <c r="B140" s="39">
        <v>45797</v>
      </c>
      <c r="C140" s="40">
        <v>58.83</v>
      </c>
      <c r="D140" s="41"/>
    </row>
    <row r="141" spans="2:4" x14ac:dyDescent="0.3">
      <c r="B141" s="39">
        <v>45796</v>
      </c>
      <c r="C141" s="40">
        <v>59.54</v>
      </c>
      <c r="D141" s="41"/>
    </row>
    <row r="142" spans="2:4" x14ac:dyDescent="0.3">
      <c r="B142" s="39">
        <v>45793</v>
      </c>
      <c r="C142" s="40">
        <v>60.05</v>
      </c>
      <c r="D142" s="41"/>
    </row>
    <row r="143" spans="2:4" x14ac:dyDescent="0.3">
      <c r="B143" s="39">
        <v>45792</v>
      </c>
      <c r="C143" s="40">
        <v>59.13</v>
      </c>
      <c r="D143" s="41"/>
    </row>
    <row r="144" spans="2:4" x14ac:dyDescent="0.3">
      <c r="B144" s="39">
        <v>45791</v>
      </c>
      <c r="C144" s="40">
        <v>59.37</v>
      </c>
      <c r="D144" s="41"/>
    </row>
    <row r="145" spans="2:4" x14ac:dyDescent="0.3">
      <c r="B145" s="39">
        <v>45790</v>
      </c>
      <c r="C145" s="40">
        <v>59.26</v>
      </c>
      <c r="D145" s="41"/>
    </row>
    <row r="146" spans="2:4" x14ac:dyDescent="0.3">
      <c r="B146" s="39">
        <v>45789</v>
      </c>
      <c r="C146" s="40">
        <v>59.6</v>
      </c>
      <c r="D146" s="41"/>
    </row>
    <row r="147" spans="2:4" x14ac:dyDescent="0.3">
      <c r="B147" s="39">
        <v>45786</v>
      </c>
      <c r="C147" s="40">
        <v>56.71</v>
      </c>
      <c r="D147" s="41"/>
    </row>
    <row r="148" spans="2:4" x14ac:dyDescent="0.3">
      <c r="B148" s="39">
        <v>45785</v>
      </c>
      <c r="C148" s="40">
        <v>58.33</v>
      </c>
      <c r="D148" s="41"/>
    </row>
    <row r="149" spans="2:4" x14ac:dyDescent="0.3">
      <c r="B149" s="39">
        <v>45784</v>
      </c>
      <c r="C149" s="40">
        <v>54.44</v>
      </c>
      <c r="D149" s="41"/>
    </row>
    <row r="150" spans="2:4" x14ac:dyDescent="0.3">
      <c r="B150" s="39">
        <v>45783</v>
      </c>
      <c r="C150" s="40">
        <v>58.19</v>
      </c>
      <c r="D150" s="41"/>
    </row>
    <row r="151" spans="2:4" x14ac:dyDescent="0.3">
      <c r="B151" s="39">
        <v>45782</v>
      </c>
      <c r="C151" s="40">
        <v>58.4</v>
      </c>
      <c r="D151" s="41"/>
    </row>
    <row r="152" spans="2:4" x14ac:dyDescent="0.3">
      <c r="B152" s="39">
        <v>45779</v>
      </c>
      <c r="C152" s="40">
        <v>58.85</v>
      </c>
      <c r="D152" s="41"/>
    </row>
    <row r="153" spans="2:4" x14ac:dyDescent="0.3">
      <c r="B153" s="39">
        <v>45778</v>
      </c>
      <c r="C153" s="40">
        <v>58.62</v>
      </c>
      <c r="D153" s="41"/>
    </row>
    <row r="154" spans="2:4" x14ac:dyDescent="0.3">
      <c r="B154" s="39">
        <v>45777</v>
      </c>
      <c r="C154" s="40">
        <v>57.87</v>
      </c>
      <c r="D154" s="41"/>
    </row>
    <row r="155" spans="2:4" x14ac:dyDescent="0.3">
      <c r="B155" s="39">
        <v>45776</v>
      </c>
      <c r="C155" s="40">
        <v>57.35</v>
      </c>
      <c r="D155" s="41"/>
    </row>
    <row r="156" spans="2:4" x14ac:dyDescent="0.3">
      <c r="B156" s="39">
        <v>45775</v>
      </c>
      <c r="C156" s="40">
        <v>57.26</v>
      </c>
      <c r="D156" s="41"/>
    </row>
    <row r="157" spans="2:4" x14ac:dyDescent="0.3">
      <c r="B157" s="39">
        <v>45772</v>
      </c>
      <c r="C157" s="40">
        <v>57.81</v>
      </c>
      <c r="D157" s="41"/>
    </row>
    <row r="158" spans="2:4" x14ac:dyDescent="0.3">
      <c r="B158" s="39">
        <v>45771</v>
      </c>
      <c r="C158" s="40">
        <v>57.27</v>
      </c>
      <c r="D158" s="41"/>
    </row>
    <row r="159" spans="2:4" x14ac:dyDescent="0.3">
      <c r="B159" s="39">
        <v>45770</v>
      </c>
      <c r="C159" s="40">
        <v>55.57</v>
      </c>
      <c r="D159" s="41"/>
    </row>
    <row r="160" spans="2:4" x14ac:dyDescent="0.3">
      <c r="B160" s="39">
        <v>45769</v>
      </c>
      <c r="C160" s="40">
        <v>53.58</v>
      </c>
      <c r="D160" s="41"/>
    </row>
    <row r="161" spans="2:4" x14ac:dyDescent="0.3">
      <c r="B161" s="39">
        <v>45768</v>
      </c>
      <c r="C161" s="40">
        <v>52.33</v>
      </c>
      <c r="D161" s="41"/>
    </row>
    <row r="162" spans="2:4" x14ac:dyDescent="0.3">
      <c r="B162" s="39">
        <v>45764</v>
      </c>
      <c r="C162" s="40">
        <v>54.15</v>
      </c>
      <c r="D162" s="41"/>
    </row>
    <row r="163" spans="2:4" x14ac:dyDescent="0.3">
      <c r="B163" s="39">
        <v>45763</v>
      </c>
      <c r="C163" s="41">
        <v>55</v>
      </c>
      <c r="D163" s="41"/>
    </row>
    <row r="164" spans="2:4" x14ac:dyDescent="0.3">
      <c r="B164" s="39">
        <v>45762</v>
      </c>
      <c r="C164" s="40">
        <v>55.81</v>
      </c>
      <c r="D164" s="41"/>
    </row>
    <row r="165" spans="2:4" x14ac:dyDescent="0.3">
      <c r="B165" s="39">
        <v>45761</v>
      </c>
      <c r="C165" s="40">
        <v>56.16</v>
      </c>
      <c r="D165" s="41"/>
    </row>
    <row r="166" spans="2:4" x14ac:dyDescent="0.3">
      <c r="B166" s="39">
        <v>45758</v>
      </c>
      <c r="C166" s="40">
        <v>55.09</v>
      </c>
      <c r="D166" s="41"/>
    </row>
    <row r="167" spans="2:4" x14ac:dyDescent="0.3">
      <c r="B167" s="39">
        <v>45757</v>
      </c>
      <c r="C167" s="40">
        <v>54.12</v>
      </c>
      <c r="D167" s="41"/>
    </row>
    <row r="168" spans="2:4" x14ac:dyDescent="0.3">
      <c r="B168" s="39">
        <v>45756</v>
      </c>
      <c r="C168" s="40">
        <v>56.22</v>
      </c>
      <c r="D168" s="41"/>
    </row>
    <row r="169" spans="2:4" x14ac:dyDescent="0.3">
      <c r="B169" s="39">
        <v>45755</v>
      </c>
      <c r="C169" s="40">
        <v>49.33</v>
      </c>
      <c r="D169" s="41"/>
    </row>
    <row r="170" spans="2:4" x14ac:dyDescent="0.3">
      <c r="B170" s="39">
        <v>45754</v>
      </c>
      <c r="C170" s="40">
        <v>51.24</v>
      </c>
      <c r="D170" s="41"/>
    </row>
    <row r="171" spans="2:4" x14ac:dyDescent="0.3">
      <c r="B171" s="39">
        <v>45751</v>
      </c>
      <c r="C171" s="40">
        <v>51.49</v>
      </c>
      <c r="D171" s="41"/>
    </row>
    <row r="172" spans="2:4" x14ac:dyDescent="0.3">
      <c r="B172" s="39">
        <v>45750</v>
      </c>
      <c r="C172" s="40">
        <v>56.26</v>
      </c>
      <c r="D172" s="41"/>
    </row>
    <row r="173" spans="2:4" x14ac:dyDescent="0.3">
      <c r="B173" s="39">
        <v>45749</v>
      </c>
      <c r="C173" s="40">
        <v>59.3</v>
      </c>
      <c r="D173" s="41"/>
    </row>
    <row r="174" spans="2:4" x14ac:dyDescent="0.3">
      <c r="B174" s="39">
        <v>45748</v>
      </c>
      <c r="C174" s="40">
        <v>58.34</v>
      </c>
      <c r="D174" s="41"/>
    </row>
    <row r="175" spans="2:4" x14ac:dyDescent="0.3">
      <c r="B175" s="39">
        <v>45747</v>
      </c>
      <c r="C175" s="40">
        <v>58.33</v>
      </c>
      <c r="D175" s="41"/>
    </row>
    <row r="176" spans="2:4" x14ac:dyDescent="0.3">
      <c r="B176" s="39">
        <v>45744</v>
      </c>
      <c r="C176" s="40">
        <v>58.31</v>
      </c>
      <c r="D176" s="41"/>
    </row>
    <row r="177" spans="2:4" x14ac:dyDescent="0.3">
      <c r="B177" s="39">
        <v>45743</v>
      </c>
      <c r="C177" s="40">
        <v>59.65</v>
      </c>
      <c r="D177" s="41"/>
    </row>
    <row r="178" spans="2:4" x14ac:dyDescent="0.3">
      <c r="B178" s="39">
        <v>45742</v>
      </c>
      <c r="C178" s="40">
        <v>59.67</v>
      </c>
      <c r="D178" s="41"/>
    </row>
    <row r="179" spans="2:4" x14ac:dyDescent="0.3">
      <c r="B179" s="39">
        <v>45741</v>
      </c>
      <c r="C179" s="40">
        <v>60.2</v>
      </c>
      <c r="D179" s="41"/>
    </row>
    <row r="180" spans="2:4" x14ac:dyDescent="0.3">
      <c r="B180" s="39">
        <v>45740</v>
      </c>
      <c r="C180" s="40">
        <v>60.16</v>
      </c>
      <c r="D180" s="41"/>
    </row>
    <row r="181" spans="2:4" x14ac:dyDescent="0.3">
      <c r="B181" s="39">
        <v>45737</v>
      </c>
      <c r="C181" s="40">
        <v>58.5</v>
      </c>
      <c r="D181" s="41"/>
    </row>
    <row r="182" spans="2:4" x14ac:dyDescent="0.3">
      <c r="B182" s="39">
        <v>45736</v>
      </c>
      <c r="C182" s="40">
        <v>57.64</v>
      </c>
      <c r="D182" s="41"/>
    </row>
    <row r="183" spans="2:4" x14ac:dyDescent="0.3">
      <c r="B183" s="39">
        <v>45735</v>
      </c>
      <c r="C183" s="40">
        <v>57.67</v>
      </c>
      <c r="D183" s="41"/>
    </row>
    <row r="184" spans="2:4" x14ac:dyDescent="0.3">
      <c r="B184" s="39">
        <v>45734</v>
      </c>
      <c r="C184" s="40">
        <v>57.13</v>
      </c>
      <c r="D184" s="41"/>
    </row>
    <row r="185" spans="2:4" x14ac:dyDescent="0.3">
      <c r="B185" s="39">
        <v>45733</v>
      </c>
      <c r="C185" s="40">
        <v>56.94</v>
      </c>
      <c r="D185" s="41"/>
    </row>
    <row r="186" spans="2:4" x14ac:dyDescent="0.3">
      <c r="B186" s="39">
        <v>45730</v>
      </c>
      <c r="C186" s="40">
        <v>55.39</v>
      </c>
      <c r="D186" s="41"/>
    </row>
    <row r="187" spans="2:4" x14ac:dyDescent="0.3">
      <c r="B187" s="39">
        <v>45729</v>
      </c>
      <c r="C187" s="40">
        <v>52.18</v>
      </c>
      <c r="D187" s="41"/>
    </row>
    <row r="188" spans="2:4" x14ac:dyDescent="0.3">
      <c r="B188" s="39">
        <v>45728</v>
      </c>
      <c r="C188" s="40">
        <v>53.33</v>
      </c>
      <c r="D188" s="41"/>
    </row>
    <row r="189" spans="2:4" x14ac:dyDescent="0.3">
      <c r="B189" s="39">
        <v>45727</v>
      </c>
      <c r="C189" s="40">
        <v>53.72</v>
      </c>
      <c r="D189" s="41"/>
    </row>
    <row r="190" spans="2:4" x14ac:dyDescent="0.3">
      <c r="B190" s="39">
        <v>45726</v>
      </c>
      <c r="C190" s="40">
        <v>54.71</v>
      </c>
      <c r="D190" s="41"/>
    </row>
    <row r="191" spans="2:4" x14ac:dyDescent="0.3">
      <c r="B191" s="39">
        <v>45723</v>
      </c>
      <c r="C191" s="40">
        <v>55.42</v>
      </c>
      <c r="D191" s="41"/>
    </row>
    <row r="192" spans="2:4" x14ac:dyDescent="0.3">
      <c r="B192" s="39">
        <v>45722</v>
      </c>
      <c r="C192" s="40">
        <v>54.67</v>
      </c>
      <c r="D192" s="41"/>
    </row>
    <row r="193" spans="2:4" x14ac:dyDescent="0.3">
      <c r="B193" s="39">
        <v>45721</v>
      </c>
      <c r="C193" s="40">
        <v>57.23</v>
      </c>
      <c r="D193" s="41"/>
    </row>
    <row r="194" spans="2:4" x14ac:dyDescent="0.3">
      <c r="B194" s="39">
        <v>45720</v>
      </c>
      <c r="C194" s="40">
        <v>57.07</v>
      </c>
      <c r="D194" s="41"/>
    </row>
    <row r="195" spans="2:4" x14ac:dyDescent="0.3">
      <c r="B195" s="39">
        <v>45719</v>
      </c>
      <c r="C195" s="40">
        <v>59.42</v>
      </c>
      <c r="D195" s="41"/>
    </row>
    <row r="196" spans="2:4" x14ac:dyDescent="0.3">
      <c r="B196" s="39">
        <v>45716</v>
      </c>
      <c r="C196" s="40">
        <v>61.99</v>
      </c>
      <c r="D196" s="41"/>
    </row>
    <row r="197" spans="2:4" x14ac:dyDescent="0.3">
      <c r="B197" s="39">
        <v>45715</v>
      </c>
      <c r="C197" s="40">
        <v>61.64</v>
      </c>
      <c r="D197" s="41"/>
    </row>
    <row r="198" spans="2:4" x14ac:dyDescent="0.3">
      <c r="B198" s="39">
        <v>45714</v>
      </c>
      <c r="C198" s="40">
        <v>62.6</v>
      </c>
      <c r="D198" s="41"/>
    </row>
    <row r="199" spans="2:4" x14ac:dyDescent="0.3">
      <c r="B199" s="39">
        <v>45713</v>
      </c>
      <c r="C199" s="40">
        <v>62.96</v>
      </c>
      <c r="D199" s="41"/>
    </row>
    <row r="200" spans="2:4" x14ac:dyDescent="0.3">
      <c r="B200" s="39">
        <v>45712</v>
      </c>
      <c r="C200" s="40">
        <v>64.430000000000007</v>
      </c>
      <c r="D200" s="41"/>
    </row>
    <row r="201" spans="2:4" x14ac:dyDescent="0.3">
      <c r="B201" s="39">
        <v>45709</v>
      </c>
      <c r="C201" s="40">
        <v>64.650000000000006</v>
      </c>
      <c r="D201" s="41"/>
    </row>
    <row r="202" spans="2:4" x14ac:dyDescent="0.3">
      <c r="B202" s="39">
        <v>45708</v>
      </c>
      <c r="C202" s="40">
        <v>67.28</v>
      </c>
      <c r="D202" s="41"/>
    </row>
    <row r="203" spans="2:4" x14ac:dyDescent="0.3">
      <c r="B203" s="39">
        <v>45707</v>
      </c>
      <c r="C203" s="40">
        <v>68.27</v>
      </c>
      <c r="D203" s="41"/>
    </row>
    <row r="204" spans="2:4" x14ac:dyDescent="0.3">
      <c r="B204" s="39">
        <v>45706</v>
      </c>
      <c r="C204" s="40">
        <v>67.680000000000007</v>
      </c>
      <c r="D204" s="41"/>
    </row>
    <row r="205" spans="2:4" x14ac:dyDescent="0.3">
      <c r="B205" s="39">
        <v>45702</v>
      </c>
      <c r="C205" s="40">
        <v>66.42</v>
      </c>
      <c r="D205" s="41"/>
    </row>
    <row r="206" spans="2:4" x14ac:dyDescent="0.3">
      <c r="B206" s="39">
        <v>45701</v>
      </c>
      <c r="C206" s="40">
        <v>66.680000000000007</v>
      </c>
      <c r="D206" s="41"/>
    </row>
    <row r="207" spans="2:4" x14ac:dyDescent="0.3">
      <c r="B207" s="39">
        <v>45700</v>
      </c>
      <c r="C207" s="40">
        <v>64.81</v>
      </c>
      <c r="D207" s="41"/>
    </row>
    <row r="208" spans="2:4" x14ac:dyDescent="0.3">
      <c r="B208" s="39">
        <v>45699</v>
      </c>
      <c r="C208" s="40">
        <v>65.25</v>
      </c>
      <c r="D208" s="41"/>
    </row>
    <row r="209" spans="2:4" x14ac:dyDescent="0.3">
      <c r="B209" s="39">
        <v>45698</v>
      </c>
      <c r="C209" s="40">
        <v>65.760000000000005</v>
      </c>
      <c r="D209" s="41"/>
    </row>
    <row r="210" spans="2:4" x14ac:dyDescent="0.3">
      <c r="B210" s="39">
        <v>45695</v>
      </c>
      <c r="C210" s="40">
        <v>65.03</v>
      </c>
      <c r="D210" s="41"/>
    </row>
    <row r="211" spans="2:4" x14ac:dyDescent="0.3">
      <c r="B211" s="39">
        <v>45694</v>
      </c>
      <c r="C211" s="40">
        <v>65.67</v>
      </c>
      <c r="D211" s="41"/>
    </row>
    <row r="212" spans="2:4" x14ac:dyDescent="0.3">
      <c r="B212" s="39">
        <v>45693</v>
      </c>
      <c r="C212" s="41">
        <v>66</v>
      </c>
      <c r="D212" s="41"/>
    </row>
    <row r="213" spans="2:4" x14ac:dyDescent="0.3">
      <c r="B213" s="39">
        <v>45692</v>
      </c>
      <c r="C213" s="40">
        <v>71.739999999999995</v>
      </c>
      <c r="D213" s="41"/>
    </row>
    <row r="214" spans="2:4" x14ac:dyDescent="0.3">
      <c r="B214" s="39">
        <v>45691</v>
      </c>
      <c r="C214" s="40">
        <v>71.08</v>
      </c>
      <c r="D214" s="41"/>
    </row>
    <row r="215" spans="2:4" x14ac:dyDescent="0.3">
      <c r="B215" s="39">
        <v>45688</v>
      </c>
      <c r="C215" s="40">
        <v>70.739999999999995</v>
      </c>
      <c r="D215" s="41"/>
    </row>
    <row r="216" spans="2:4" x14ac:dyDescent="0.3">
      <c r="B216" s="39">
        <v>45687</v>
      </c>
      <c r="C216" s="40">
        <v>70.569999999999993</v>
      </c>
      <c r="D216" s="41"/>
    </row>
    <row r="217" spans="2:4" x14ac:dyDescent="0.3">
      <c r="B217" s="39">
        <v>45686</v>
      </c>
      <c r="C217" s="40">
        <v>71.400000000000006</v>
      </c>
      <c r="D217" s="41"/>
    </row>
    <row r="218" spans="2:4" x14ac:dyDescent="0.3">
      <c r="B218" s="39">
        <v>45685</v>
      </c>
      <c r="C218" s="40">
        <v>74.08</v>
      </c>
      <c r="D218" s="41"/>
    </row>
    <row r="219" spans="2:4" x14ac:dyDescent="0.3">
      <c r="B219" s="39">
        <v>45684</v>
      </c>
      <c r="C219" s="40">
        <v>72.349999999999994</v>
      </c>
      <c r="D219" s="41"/>
    </row>
    <row r="220" spans="2:4" x14ac:dyDescent="0.3">
      <c r="B220" s="39">
        <v>45681</v>
      </c>
      <c r="C220" s="40">
        <v>71.02</v>
      </c>
      <c r="D220" s="41"/>
    </row>
    <row r="221" spans="2:4" x14ac:dyDescent="0.3">
      <c r="B221" s="39">
        <v>45680</v>
      </c>
      <c r="C221" s="41">
        <v>70</v>
      </c>
      <c r="D221" s="41"/>
    </row>
    <row r="222" spans="2:4" x14ac:dyDescent="0.3">
      <c r="B222" s="39">
        <v>45679</v>
      </c>
      <c r="C222" s="40">
        <v>69.900000000000006</v>
      </c>
      <c r="D222" s="41"/>
    </row>
    <row r="223" spans="2:4" x14ac:dyDescent="0.3">
      <c r="B223" s="39">
        <v>45678</v>
      </c>
      <c r="C223" s="40">
        <v>69.59</v>
      </c>
      <c r="D223" s="41"/>
    </row>
    <row r="224" spans="2:4" x14ac:dyDescent="0.3">
      <c r="B224" s="39">
        <v>45674</v>
      </c>
      <c r="C224" s="40">
        <v>69.62</v>
      </c>
      <c r="D224" s="41"/>
    </row>
    <row r="225" spans="2:4" x14ac:dyDescent="0.3">
      <c r="B225" s="39">
        <v>45673</v>
      </c>
      <c r="C225" s="40">
        <v>70.180000000000007</v>
      </c>
      <c r="D225" s="41"/>
    </row>
    <row r="226" spans="2:4" x14ac:dyDescent="0.3">
      <c r="B226" s="39">
        <v>45672</v>
      </c>
      <c r="C226" s="40">
        <v>70.23</v>
      </c>
      <c r="D226" s="41"/>
    </row>
    <row r="227" spans="2:4" x14ac:dyDescent="0.3">
      <c r="B227" s="39">
        <v>45671</v>
      </c>
      <c r="C227" s="40">
        <v>70.5</v>
      </c>
      <c r="D227" s="41"/>
    </row>
    <row r="228" spans="2:4" x14ac:dyDescent="0.3">
      <c r="B228" s="39">
        <v>45670</v>
      </c>
      <c r="C228" s="40">
        <v>70.42</v>
      </c>
      <c r="D228" s="41"/>
    </row>
    <row r="229" spans="2:4" x14ac:dyDescent="0.3">
      <c r="B229" s="39">
        <v>45667</v>
      </c>
      <c r="C229" s="40">
        <v>70.290000000000006</v>
      </c>
      <c r="D229" s="41"/>
    </row>
    <row r="230" spans="2:4" x14ac:dyDescent="0.3">
      <c r="B230" s="39">
        <v>45665</v>
      </c>
      <c r="C230" s="40">
        <v>70.13</v>
      </c>
      <c r="D230" s="41"/>
    </row>
    <row r="231" spans="2:4" x14ac:dyDescent="0.3">
      <c r="B231" s="39">
        <v>45664</v>
      </c>
      <c r="C231" s="40">
        <v>71.23</v>
      </c>
      <c r="D231" s="41"/>
    </row>
    <row r="232" spans="2:4" x14ac:dyDescent="0.3">
      <c r="B232" s="39">
        <v>45663</v>
      </c>
      <c r="C232" s="40">
        <v>73.739999999999995</v>
      </c>
      <c r="D232" s="41"/>
    </row>
    <row r="233" spans="2:4" x14ac:dyDescent="0.3">
      <c r="B233" s="39">
        <v>45660</v>
      </c>
      <c r="C233" s="40">
        <v>72.52</v>
      </c>
      <c r="D233" s="41"/>
    </row>
    <row r="234" spans="2:4" x14ac:dyDescent="0.3">
      <c r="B234" s="39">
        <v>45659</v>
      </c>
      <c r="C234" s="40">
        <v>71.39</v>
      </c>
      <c r="D234" s="41"/>
    </row>
    <row r="235" spans="2:4" x14ac:dyDescent="0.3">
      <c r="B235" s="39">
        <v>45657</v>
      </c>
      <c r="C235" s="40">
        <v>72.64</v>
      </c>
      <c r="D235" s="41"/>
    </row>
    <row r="236" spans="2:4" x14ac:dyDescent="0.3">
      <c r="B236" s="39">
        <v>45656</v>
      </c>
      <c r="C236" s="40">
        <v>72.489999999999995</v>
      </c>
      <c r="D236" s="41"/>
    </row>
    <row r="237" spans="2:4" x14ac:dyDescent="0.3">
      <c r="B237" s="39">
        <v>45653</v>
      </c>
      <c r="C237" s="40">
        <v>73.72</v>
      </c>
      <c r="D237" s="41"/>
    </row>
    <row r="238" spans="2:4" x14ac:dyDescent="0.3">
      <c r="B238" s="39">
        <v>45652</v>
      </c>
      <c r="C238" s="40">
        <v>74.150000000000006</v>
      </c>
      <c r="D238" s="41"/>
    </row>
    <row r="239" spans="2:4" x14ac:dyDescent="0.3">
      <c r="B239" s="39">
        <v>45650</v>
      </c>
      <c r="C239" s="40">
        <v>74.23</v>
      </c>
      <c r="D239" s="41"/>
    </row>
    <row r="240" spans="2:4" x14ac:dyDescent="0.3">
      <c r="B240" s="39">
        <v>45649</v>
      </c>
      <c r="C240" s="40">
        <v>73.989999999999995</v>
      </c>
      <c r="D240" s="41"/>
    </row>
    <row r="241" spans="2:4" x14ac:dyDescent="0.3">
      <c r="B241" s="39">
        <v>45646</v>
      </c>
      <c r="C241" s="40">
        <v>74.84</v>
      </c>
      <c r="D241" s="41"/>
    </row>
    <row r="242" spans="2:4" x14ac:dyDescent="0.3">
      <c r="B242" s="39">
        <v>45645</v>
      </c>
      <c r="C242" s="41">
        <v>74</v>
      </c>
      <c r="D242" s="41"/>
    </row>
    <row r="243" spans="2:4" x14ac:dyDescent="0.3">
      <c r="B243" s="39">
        <v>45644</v>
      </c>
      <c r="C243" s="40">
        <v>73.59</v>
      </c>
      <c r="D243" s="41"/>
    </row>
    <row r="244" spans="2:4" x14ac:dyDescent="0.3">
      <c r="B244" s="39">
        <v>45643</v>
      </c>
      <c r="C244" s="40">
        <v>77.459999999999994</v>
      </c>
      <c r="D244" s="41"/>
    </row>
    <row r="245" spans="2:4" x14ac:dyDescent="0.3">
      <c r="B245" s="39">
        <v>45642</v>
      </c>
      <c r="C245" s="40">
        <v>77.39</v>
      </c>
      <c r="D245" s="41"/>
    </row>
    <row r="246" spans="2:4" x14ac:dyDescent="0.3">
      <c r="B246" s="39">
        <v>45639</v>
      </c>
      <c r="C246" s="40">
        <v>77.17</v>
      </c>
      <c r="D246" s="41"/>
    </row>
    <row r="247" spans="2:4" x14ac:dyDescent="0.3">
      <c r="B247" s="39">
        <v>45638</v>
      </c>
      <c r="C247" s="40">
        <v>77.53</v>
      </c>
      <c r="D247" s="41"/>
    </row>
    <row r="248" spans="2:4" x14ac:dyDescent="0.3">
      <c r="B248" s="39">
        <v>45637</v>
      </c>
      <c r="C248" s="40">
        <v>78.290000000000006</v>
      </c>
      <c r="D248" s="41"/>
    </row>
    <row r="249" spans="2:4" x14ac:dyDescent="0.3">
      <c r="B249" s="39">
        <v>45636</v>
      </c>
      <c r="C249" s="40">
        <v>77.95</v>
      </c>
      <c r="D249" s="41"/>
    </row>
    <row r="250" spans="2:4" x14ac:dyDescent="0.3">
      <c r="B250" s="39">
        <v>45635</v>
      </c>
      <c r="C250" s="40">
        <v>79.23</v>
      </c>
      <c r="D250" s="41"/>
    </row>
    <row r="251" spans="2:4" x14ac:dyDescent="0.3">
      <c r="B251" s="39">
        <v>45632</v>
      </c>
      <c r="C251" s="40">
        <v>78.56</v>
      </c>
      <c r="D251" s="41"/>
    </row>
    <row r="252" spans="2:4" x14ac:dyDescent="0.3">
      <c r="B252" s="39">
        <v>45631</v>
      </c>
      <c r="C252" s="40">
        <v>77.209999999999994</v>
      </c>
      <c r="D252" s="41"/>
    </row>
    <row r="253" spans="2:4" x14ac:dyDescent="0.3">
      <c r="B253" s="39">
        <v>45630</v>
      </c>
      <c r="C253" s="40">
        <v>80.709999999999994</v>
      </c>
      <c r="D253" s="41"/>
    </row>
    <row r="254" spans="2:4" x14ac:dyDescent="0.3">
      <c r="B254" s="39">
        <v>45629</v>
      </c>
      <c r="C254" s="40">
        <v>80.489999999999995</v>
      </c>
      <c r="D254" s="41"/>
    </row>
    <row r="255" spans="2:4" x14ac:dyDescent="0.3">
      <c r="B255" s="39">
        <v>45628</v>
      </c>
      <c r="C255" s="40">
        <v>81.39</v>
      </c>
      <c r="D255" s="41"/>
    </row>
    <row r="256" spans="2:4" x14ac:dyDescent="0.3">
      <c r="B256" s="39">
        <v>45625</v>
      </c>
      <c r="C256" s="40">
        <v>79.989999999999995</v>
      </c>
      <c r="D256" s="41"/>
    </row>
    <row r="257" spans="2:4" x14ac:dyDescent="0.3">
      <c r="B257" s="39">
        <v>45623</v>
      </c>
      <c r="C257" s="40">
        <v>79.87</v>
      </c>
      <c r="D257" s="41"/>
    </row>
    <row r="258" spans="2:4" x14ac:dyDescent="0.3">
      <c r="B258" s="39">
        <v>45622</v>
      </c>
      <c r="C258" s="40">
        <v>79.680000000000007</v>
      </c>
      <c r="D258" s="41"/>
    </row>
    <row r="259" spans="2:4" x14ac:dyDescent="0.3">
      <c r="B259" s="39">
        <v>45621</v>
      </c>
      <c r="C259" s="40">
        <v>81.8</v>
      </c>
      <c r="D259" s="41"/>
    </row>
    <row r="260" spans="2:4" x14ac:dyDescent="0.3">
      <c r="B260" s="39">
        <v>45618</v>
      </c>
      <c r="C260" s="40">
        <v>79.790000000000006</v>
      </c>
      <c r="D260" s="41"/>
    </row>
    <row r="261" spans="2:4" x14ac:dyDescent="0.3">
      <c r="B261" s="39">
        <v>45617</v>
      </c>
      <c r="C261" s="40">
        <v>78.7</v>
      </c>
      <c r="D261" s="41"/>
    </row>
    <row r="262" spans="2:4" x14ac:dyDescent="0.3">
      <c r="B262" s="39">
        <v>45616</v>
      </c>
      <c r="C262" s="40">
        <v>75.91</v>
      </c>
      <c r="D262" s="41"/>
    </row>
    <row r="263" spans="2:4" x14ac:dyDescent="0.3">
      <c r="B263" s="39">
        <v>45615</v>
      </c>
      <c r="C263" s="40">
        <v>74.760000000000005</v>
      </c>
      <c r="D263" s="41"/>
    </row>
    <row r="264" spans="2:4" x14ac:dyDescent="0.3">
      <c r="B264" s="39">
        <v>45614</v>
      </c>
      <c r="C264" s="40">
        <v>74.650000000000006</v>
      </c>
      <c r="D264" s="41"/>
    </row>
    <row r="265" spans="2:4" x14ac:dyDescent="0.3">
      <c r="B265" s="39">
        <v>45611</v>
      </c>
      <c r="C265" s="40">
        <v>74.56</v>
      </c>
      <c r="D265" s="41"/>
    </row>
    <row r="266" spans="2:4" x14ac:dyDescent="0.3">
      <c r="B266" s="39">
        <v>45610</v>
      </c>
      <c r="C266" s="40">
        <v>76.739999999999995</v>
      </c>
      <c r="D266" s="41"/>
    </row>
    <row r="267" spans="2:4" x14ac:dyDescent="0.3">
      <c r="B267" s="39">
        <v>45609</v>
      </c>
      <c r="C267" s="40">
        <v>77.17</v>
      </c>
      <c r="D267" s="41"/>
    </row>
    <row r="268" spans="2:4" x14ac:dyDescent="0.3">
      <c r="B268" s="39">
        <v>45608</v>
      </c>
      <c r="C268" s="40">
        <v>78.959999999999994</v>
      </c>
      <c r="D268" s="41"/>
    </row>
    <row r="269" spans="2:4" x14ac:dyDescent="0.3">
      <c r="B269" s="39">
        <v>45607</v>
      </c>
      <c r="C269" s="40">
        <v>79.66</v>
      </c>
      <c r="D269" s="41"/>
    </row>
    <row r="270" spans="2:4" x14ac:dyDescent="0.3">
      <c r="B270" s="39">
        <v>45604</v>
      </c>
      <c r="C270" s="40">
        <v>81.14</v>
      </c>
      <c r="D270" s="41"/>
    </row>
    <row r="271" spans="2:4" x14ac:dyDescent="0.3">
      <c r="B271" s="39">
        <v>45603</v>
      </c>
      <c r="C271" s="40">
        <v>80.63</v>
      </c>
      <c r="D271" s="41"/>
    </row>
    <row r="272" spans="2:4" x14ac:dyDescent="0.3">
      <c r="B272" s="39">
        <v>45602</v>
      </c>
      <c r="C272" s="40">
        <v>80.95</v>
      </c>
      <c r="D272" s="41"/>
    </row>
    <row r="273" spans="2:4" x14ac:dyDescent="0.3">
      <c r="B273" s="39">
        <v>45601</v>
      </c>
      <c r="C273" s="40">
        <v>77.16</v>
      </c>
      <c r="D273" s="41"/>
    </row>
    <row r="274" spans="2:4" x14ac:dyDescent="0.3">
      <c r="B274" s="39">
        <v>45600</v>
      </c>
      <c r="C274" s="40">
        <v>75.400000000000006</v>
      </c>
      <c r="D274" s="41"/>
    </row>
    <row r="275" spans="2:4" x14ac:dyDescent="0.3">
      <c r="B275" s="39">
        <v>45597</v>
      </c>
      <c r="C275" s="40">
        <v>75.23</v>
      </c>
      <c r="D275" s="41"/>
    </row>
    <row r="276" spans="2:4" x14ac:dyDescent="0.3">
      <c r="B276" s="39">
        <v>45596</v>
      </c>
      <c r="C276" s="40">
        <v>70.95</v>
      </c>
      <c r="D276" s="41"/>
    </row>
    <row r="277" spans="2:4" x14ac:dyDescent="0.3">
      <c r="B277" s="39">
        <v>45595</v>
      </c>
      <c r="C277" s="40">
        <v>70.08</v>
      </c>
      <c r="D277" s="41"/>
    </row>
    <row r="278" spans="2:4" x14ac:dyDescent="0.3">
      <c r="B278" s="39">
        <v>45594</v>
      </c>
      <c r="C278" s="40">
        <v>65.319999999999993</v>
      </c>
      <c r="D278" s="41"/>
    </row>
    <row r="279" spans="2:4" x14ac:dyDescent="0.3">
      <c r="B279" s="39">
        <v>45593</v>
      </c>
      <c r="C279" s="40">
        <v>65.11</v>
      </c>
      <c r="D279" s="41"/>
    </row>
    <row r="280" spans="2:4" x14ac:dyDescent="0.3">
      <c r="B280" s="39">
        <v>45590</v>
      </c>
      <c r="C280" s="40">
        <v>64.84</v>
      </c>
      <c r="D280" s="41"/>
    </row>
    <row r="281" spans="2:4" x14ac:dyDescent="0.3">
      <c r="B281" s="39">
        <v>45589</v>
      </c>
      <c r="C281" s="40">
        <v>65.06</v>
      </c>
      <c r="D281" s="41"/>
    </row>
    <row r="282" spans="2:4" x14ac:dyDescent="0.3">
      <c r="B282" s="39">
        <v>45588</v>
      </c>
      <c r="C282" s="40">
        <v>64.86</v>
      </c>
      <c r="D282" s="41"/>
    </row>
    <row r="283" spans="2:4" x14ac:dyDescent="0.3">
      <c r="B283" s="39">
        <v>45587</v>
      </c>
      <c r="C283" s="40">
        <v>64.739999999999995</v>
      </c>
      <c r="D283" s="41"/>
    </row>
    <row r="284" spans="2:4" x14ac:dyDescent="0.3">
      <c r="B284" s="39">
        <v>45586</v>
      </c>
      <c r="C284" s="40">
        <v>64.790000000000006</v>
      </c>
      <c r="D284" s="41"/>
    </row>
    <row r="285" spans="2:4" x14ac:dyDescent="0.3">
      <c r="B285" s="39">
        <v>45583</v>
      </c>
      <c r="C285" s="41">
        <v>65</v>
      </c>
      <c r="D285" s="41"/>
    </row>
    <row r="286" spans="2:4" x14ac:dyDescent="0.3">
      <c r="B286" s="39">
        <v>45582</v>
      </c>
      <c r="C286" s="40">
        <v>63.89</v>
      </c>
      <c r="D286" s="41"/>
    </row>
    <row r="287" spans="2:4" x14ac:dyDescent="0.3">
      <c r="B287" s="39">
        <v>45581</v>
      </c>
      <c r="C287" s="40">
        <v>63.96</v>
      </c>
      <c r="D287" s="41"/>
    </row>
    <row r="288" spans="2:4" x14ac:dyDescent="0.3">
      <c r="B288" s="39">
        <v>45580</v>
      </c>
      <c r="C288" s="40">
        <v>63.96</v>
      </c>
      <c r="D288" s="41"/>
    </row>
    <row r="289" spans="2:4" x14ac:dyDescent="0.3">
      <c r="B289" s="39">
        <v>45579</v>
      </c>
      <c r="C289" s="40">
        <v>63.44</v>
      </c>
      <c r="D289" s="41"/>
    </row>
    <row r="290" spans="2:4" x14ac:dyDescent="0.3">
      <c r="B290" s="39">
        <v>45576</v>
      </c>
      <c r="C290" s="40">
        <v>61.97</v>
      </c>
      <c r="D290" s="41"/>
    </row>
    <row r="291" spans="2:4" x14ac:dyDescent="0.3">
      <c r="B291" s="39">
        <v>45575</v>
      </c>
      <c r="C291" s="40">
        <v>62.38</v>
      </c>
      <c r="D291" s="41"/>
    </row>
    <row r="292" spans="2:4" x14ac:dyDescent="0.3">
      <c r="B292" s="39">
        <v>45574</v>
      </c>
      <c r="C292" s="40">
        <v>61.84</v>
      </c>
      <c r="D292" s="41"/>
    </row>
    <row r="293" spans="2:4" x14ac:dyDescent="0.3">
      <c r="B293" s="39">
        <v>45573</v>
      </c>
      <c r="C293" s="40">
        <v>60.5</v>
      </c>
      <c r="D293" s="41"/>
    </row>
    <row r="294" spans="2:4" x14ac:dyDescent="0.3">
      <c r="B294" s="39">
        <v>45572</v>
      </c>
      <c r="C294" s="40">
        <v>60.7</v>
      </c>
      <c r="D294" s="41"/>
    </row>
    <row r="295" spans="2:4" x14ac:dyDescent="0.3">
      <c r="B295" s="39">
        <v>45569</v>
      </c>
      <c r="C295" s="40">
        <v>61.86</v>
      </c>
      <c r="D295" s="41"/>
    </row>
    <row r="296" spans="2:4" x14ac:dyDescent="0.3">
      <c r="B296" s="39">
        <v>45568</v>
      </c>
      <c r="C296" s="40">
        <v>61.59</v>
      </c>
      <c r="D296" s="41"/>
    </row>
    <row r="297" spans="2:4" x14ac:dyDescent="0.3">
      <c r="B297" s="39">
        <v>45567</v>
      </c>
      <c r="C297" s="40">
        <v>61.76</v>
      </c>
      <c r="D297" s="41"/>
    </row>
    <row r="298" spans="2:4" x14ac:dyDescent="0.3">
      <c r="B298" s="39">
        <v>45566</v>
      </c>
      <c r="C298" s="40">
        <v>60.8</v>
      </c>
      <c r="D298" s="41"/>
    </row>
    <row r="299" spans="2:4" x14ac:dyDescent="0.3">
      <c r="B299" s="39">
        <v>45565</v>
      </c>
      <c r="C299" s="40">
        <v>61.25</v>
      </c>
      <c r="D299" s="41"/>
    </row>
    <row r="300" spans="2:4" x14ac:dyDescent="0.3">
      <c r="B300" s="39">
        <v>45562</v>
      </c>
      <c r="C300" s="40">
        <v>60.2</v>
      </c>
      <c r="D300" s="41"/>
    </row>
    <row r="301" spans="2:4" x14ac:dyDescent="0.3">
      <c r="B301" s="39">
        <v>45561</v>
      </c>
      <c r="C301" s="40">
        <v>58.79</v>
      </c>
      <c r="D301" s="41"/>
    </row>
    <row r="302" spans="2:4" x14ac:dyDescent="0.3">
      <c r="B302" s="39">
        <v>45560</v>
      </c>
      <c r="C302" s="40">
        <v>58.49</v>
      </c>
      <c r="D302" s="41"/>
    </row>
    <row r="303" spans="2:4" x14ac:dyDescent="0.3">
      <c r="B303" s="39">
        <v>45559</v>
      </c>
      <c r="C303" s="40">
        <v>60.41</v>
      </c>
      <c r="D303" s="41"/>
    </row>
    <row r="304" spans="2:4" x14ac:dyDescent="0.3">
      <c r="B304" s="39">
        <v>45558</v>
      </c>
      <c r="C304" s="40">
        <v>59.2</v>
      </c>
      <c r="D304" s="41"/>
    </row>
    <row r="305" spans="2:4" x14ac:dyDescent="0.3">
      <c r="B305" s="39">
        <v>45555</v>
      </c>
      <c r="C305" s="40">
        <v>58.91</v>
      </c>
      <c r="D305" s="41"/>
    </row>
    <row r="306" spans="2:4" x14ac:dyDescent="0.3">
      <c r="B306" s="39">
        <v>45554</v>
      </c>
      <c r="C306" s="40">
        <v>59.64</v>
      </c>
      <c r="D306" s="41"/>
    </row>
    <row r="307" spans="2:4" x14ac:dyDescent="0.3">
      <c r="B307" s="39">
        <v>45553</v>
      </c>
      <c r="C307" s="40">
        <v>59.18</v>
      </c>
      <c r="D307" s="41"/>
    </row>
    <row r="308" spans="2:4" x14ac:dyDescent="0.3">
      <c r="B308" s="39">
        <v>45552</v>
      </c>
      <c r="C308" s="40">
        <v>58.99</v>
      </c>
      <c r="D308" s="41"/>
    </row>
    <row r="309" spans="2:4" x14ac:dyDescent="0.3">
      <c r="B309" s="39">
        <v>45551</v>
      </c>
      <c r="C309" s="40">
        <v>59.6</v>
      </c>
      <c r="D309" s="41"/>
    </row>
    <row r="310" spans="2:4" x14ac:dyDescent="0.3">
      <c r="B310" s="39">
        <v>45548</v>
      </c>
      <c r="C310" s="40">
        <v>59.41</v>
      </c>
      <c r="D310" s="41"/>
    </row>
    <row r="311" spans="2:4" x14ac:dyDescent="0.3">
      <c r="B311" s="39">
        <v>45547</v>
      </c>
      <c r="C311" s="40">
        <v>58.76</v>
      </c>
      <c r="D311" s="41"/>
    </row>
    <row r="312" spans="2:4" x14ac:dyDescent="0.3">
      <c r="B312" s="39">
        <v>45546</v>
      </c>
      <c r="C312" s="40">
        <v>57.9</v>
      </c>
      <c r="D312" s="41"/>
    </row>
    <row r="313" spans="2:4" x14ac:dyDescent="0.3">
      <c r="B313" s="39">
        <v>45545</v>
      </c>
      <c r="C313" s="40">
        <v>57.47</v>
      </c>
      <c r="D313" s="41"/>
    </row>
    <row r="314" spans="2:4" x14ac:dyDescent="0.3">
      <c r="B314" s="39">
        <v>45544</v>
      </c>
      <c r="C314" s="40">
        <v>56.81</v>
      </c>
      <c r="D314" s="41"/>
    </row>
    <row r="315" spans="2:4" x14ac:dyDescent="0.3">
      <c r="B315" s="39">
        <v>45541</v>
      </c>
      <c r="C315" s="40">
        <v>54.47</v>
      </c>
      <c r="D315" s="41"/>
    </row>
    <row r="316" spans="2:4" x14ac:dyDescent="0.3">
      <c r="B316" s="39">
        <v>45540</v>
      </c>
      <c r="C316" s="40">
        <v>54.19</v>
      </c>
      <c r="D316" s="41"/>
    </row>
    <row r="317" spans="2:4" x14ac:dyDescent="0.3">
      <c r="B317" s="39">
        <v>45539</v>
      </c>
      <c r="C317" s="40">
        <v>54.76</v>
      </c>
      <c r="D317" s="41"/>
    </row>
    <row r="318" spans="2:4" x14ac:dyDescent="0.3">
      <c r="B318" s="39">
        <v>45538</v>
      </c>
      <c r="C318" s="40">
        <v>55.54</v>
      </c>
      <c r="D318" s="41"/>
    </row>
    <row r="319" spans="2:4" x14ac:dyDescent="0.3">
      <c r="B319" s="39">
        <v>45534</v>
      </c>
      <c r="C319" s="40">
        <v>57.17</v>
      </c>
      <c r="D319" s="41"/>
    </row>
    <row r="320" spans="2:4" x14ac:dyDescent="0.3">
      <c r="B320" s="39">
        <v>45533</v>
      </c>
      <c r="C320" s="40">
        <v>58.03</v>
      </c>
      <c r="D320" s="41"/>
    </row>
    <row r="321" spans="2:4" x14ac:dyDescent="0.3">
      <c r="B321" s="39">
        <v>45532</v>
      </c>
      <c r="C321" s="40">
        <v>57.07</v>
      </c>
      <c r="D321" s="41"/>
    </row>
    <row r="322" spans="2:4" x14ac:dyDescent="0.3">
      <c r="B322" s="39">
        <v>45531</v>
      </c>
      <c r="C322" s="40">
        <v>58.55</v>
      </c>
      <c r="D322" s="41"/>
    </row>
    <row r="323" spans="2:4" x14ac:dyDescent="0.3">
      <c r="B323" s="39">
        <v>45530</v>
      </c>
      <c r="C323" s="41">
        <v>59</v>
      </c>
      <c r="D323" s="41"/>
    </row>
    <row r="324" spans="2:4" x14ac:dyDescent="0.3">
      <c r="B324" s="39">
        <v>45527</v>
      </c>
      <c r="C324" s="40">
        <v>56.75</v>
      </c>
      <c r="D324" s="41"/>
    </row>
    <row r="325" spans="2:4" x14ac:dyDescent="0.3">
      <c r="B325" s="39">
        <v>45526</v>
      </c>
      <c r="C325" s="40">
        <v>55.09</v>
      </c>
      <c r="D325" s="41"/>
    </row>
    <row r="326" spans="2:4" x14ac:dyDescent="0.3">
      <c r="B326" s="39">
        <v>45525</v>
      </c>
      <c r="C326" s="40">
        <v>54.66</v>
      </c>
      <c r="D326" s="41"/>
    </row>
    <row r="327" spans="2:4" x14ac:dyDescent="0.3">
      <c r="B327" s="39">
        <v>45524</v>
      </c>
      <c r="C327" s="40">
        <v>54.73</v>
      </c>
      <c r="D327" s="41"/>
    </row>
    <row r="328" spans="2:4" x14ac:dyDescent="0.3">
      <c r="B328" s="39">
        <v>45523</v>
      </c>
      <c r="C328" s="40">
        <v>55.57</v>
      </c>
      <c r="D328" s="41"/>
    </row>
    <row r="329" spans="2:4" x14ac:dyDescent="0.3">
      <c r="B329" s="39">
        <v>45520</v>
      </c>
      <c r="C329" s="40">
        <v>55.4</v>
      </c>
      <c r="D329" s="41"/>
    </row>
    <row r="330" spans="2:4" x14ac:dyDescent="0.3">
      <c r="B330" s="39">
        <v>45519</v>
      </c>
      <c r="C330" s="40">
        <v>55.5</v>
      </c>
      <c r="D330" s="41"/>
    </row>
    <row r="331" spans="2:4" x14ac:dyDescent="0.3">
      <c r="B331" s="39">
        <v>45518</v>
      </c>
      <c r="C331" s="40">
        <v>54.06</v>
      </c>
      <c r="D331" s="41"/>
    </row>
    <row r="332" spans="2:4" x14ac:dyDescent="0.3">
      <c r="B332" s="39">
        <v>45517</v>
      </c>
      <c r="C332" s="40">
        <v>52.95</v>
      </c>
      <c r="D332" s="41"/>
    </row>
    <row r="333" spans="2:4" x14ac:dyDescent="0.3">
      <c r="B333" s="39">
        <v>45516</v>
      </c>
      <c r="C333" s="40">
        <v>51.08</v>
      </c>
      <c r="D333" s="41"/>
    </row>
    <row r="334" spans="2:4" x14ac:dyDescent="0.3">
      <c r="B334" s="39">
        <v>45513</v>
      </c>
      <c r="C334" s="40">
        <v>53.06</v>
      </c>
      <c r="D334" s="41"/>
    </row>
    <row r="335" spans="2:4" x14ac:dyDescent="0.3">
      <c r="B335" s="39">
        <v>45512</v>
      </c>
      <c r="C335" s="40">
        <v>53.78</v>
      </c>
      <c r="D335" s="41"/>
    </row>
    <row r="336" spans="2:4" x14ac:dyDescent="0.3">
      <c r="B336" s="39">
        <v>45511</v>
      </c>
      <c r="C336" s="40">
        <v>52.13</v>
      </c>
      <c r="D336" s="41"/>
    </row>
    <row r="337" spans="2:4" x14ac:dyDescent="0.3">
      <c r="B337" s="39">
        <v>45510</v>
      </c>
      <c r="C337" s="40">
        <v>52.49</v>
      </c>
      <c r="D337" s="41"/>
    </row>
    <row r="338" spans="2:4" x14ac:dyDescent="0.3">
      <c r="B338" s="39">
        <v>45509</v>
      </c>
      <c r="C338" s="40">
        <v>52.96</v>
      </c>
      <c r="D338" s="41"/>
    </row>
    <row r="339" spans="2:4" x14ac:dyDescent="0.3">
      <c r="B339" s="39">
        <v>45506</v>
      </c>
      <c r="C339" s="40">
        <v>53.23</v>
      </c>
      <c r="D339" s="41"/>
    </row>
    <row r="340" spans="2:4" x14ac:dyDescent="0.3">
      <c r="B340" s="39">
        <v>45505</v>
      </c>
      <c r="C340" s="40">
        <v>56.56</v>
      </c>
      <c r="D340" s="41"/>
    </row>
    <row r="341" spans="2:4" x14ac:dyDescent="0.3">
      <c r="B341" s="39">
        <v>45504</v>
      </c>
      <c r="C341" s="40">
        <v>59.28</v>
      </c>
      <c r="D341" s="41"/>
    </row>
    <row r="342" spans="2:4" x14ac:dyDescent="0.3">
      <c r="B342" s="39">
        <v>45503</v>
      </c>
      <c r="C342" s="40">
        <v>53.68</v>
      </c>
      <c r="D342" s="41"/>
    </row>
    <row r="343" spans="2:4" x14ac:dyDescent="0.3">
      <c r="B343" s="39">
        <v>45502</v>
      </c>
      <c r="C343" s="40">
        <v>53.53</v>
      </c>
      <c r="D343" s="41"/>
    </row>
    <row r="344" spans="2:4" x14ac:dyDescent="0.3">
      <c r="B344" s="39">
        <v>45499</v>
      </c>
      <c r="C344" s="40">
        <v>52.11</v>
      </c>
      <c r="D344" s="41"/>
    </row>
    <row r="345" spans="2:4" x14ac:dyDescent="0.3">
      <c r="B345" s="39">
        <v>45498</v>
      </c>
      <c r="C345" s="40">
        <v>51.8</v>
      </c>
      <c r="D345" s="41"/>
    </row>
    <row r="346" spans="2:4" x14ac:dyDescent="0.3">
      <c r="B346" s="39">
        <v>45497</v>
      </c>
      <c r="C346" s="40">
        <v>51.29</v>
      </c>
      <c r="D346" s="41"/>
    </row>
    <row r="347" spans="2:4" x14ac:dyDescent="0.3">
      <c r="B347" s="39">
        <v>45496</v>
      </c>
      <c r="C347" s="40">
        <v>53.12</v>
      </c>
      <c r="D347" s="41"/>
    </row>
    <row r="348" spans="2:4" x14ac:dyDescent="0.3">
      <c r="B348" s="39">
        <v>45495</v>
      </c>
      <c r="C348" s="40">
        <v>53.71</v>
      </c>
      <c r="D348" s="41"/>
    </row>
    <row r="349" spans="2:4" x14ac:dyDescent="0.3">
      <c r="B349" s="39">
        <v>45492</v>
      </c>
      <c r="C349" s="40">
        <v>53.34</v>
      </c>
      <c r="D349" s="41"/>
    </row>
    <row r="350" spans="2:4" x14ac:dyDescent="0.3">
      <c r="B350" s="39">
        <v>45491</v>
      </c>
      <c r="C350" s="40">
        <v>53.23</v>
      </c>
      <c r="D350" s="41"/>
    </row>
    <row r="351" spans="2:4" x14ac:dyDescent="0.3">
      <c r="B351" s="39">
        <v>45490</v>
      </c>
      <c r="C351" s="40">
        <v>55.61</v>
      </c>
      <c r="D351" s="41"/>
    </row>
    <row r="352" spans="2:4" x14ac:dyDescent="0.3">
      <c r="B352" s="39">
        <v>45489</v>
      </c>
      <c r="C352" s="40">
        <v>55.61</v>
      </c>
      <c r="D352" s="41"/>
    </row>
    <row r="353" spans="2:4" x14ac:dyDescent="0.3">
      <c r="B353" s="39">
        <v>45488</v>
      </c>
      <c r="C353" s="40">
        <v>53.9</v>
      </c>
      <c r="D353" s="41"/>
    </row>
    <row r="354" spans="2:4" x14ac:dyDescent="0.3">
      <c r="B354" s="39">
        <v>45485</v>
      </c>
      <c r="C354" s="40">
        <v>53.02</v>
      </c>
      <c r="D354" s="41"/>
    </row>
    <row r="355" spans="2:4" x14ac:dyDescent="0.3">
      <c r="B355" s="39">
        <v>45484</v>
      </c>
      <c r="C355" s="40">
        <v>51.04</v>
      </c>
      <c r="D355" s="41"/>
    </row>
    <row r="356" spans="2:4" x14ac:dyDescent="0.3">
      <c r="B356" s="39">
        <v>45483</v>
      </c>
      <c r="C356" s="40">
        <v>48.99</v>
      </c>
      <c r="D356" s="41"/>
    </row>
    <row r="357" spans="2:4" x14ac:dyDescent="0.3">
      <c r="B357" s="39">
        <v>45482</v>
      </c>
      <c r="C357" s="40">
        <v>48.32</v>
      </c>
      <c r="D357" s="41"/>
    </row>
    <row r="358" spans="2:4" x14ac:dyDescent="0.3">
      <c r="B358" s="39">
        <v>45481</v>
      </c>
      <c r="C358" s="40">
        <v>48.46</v>
      </c>
      <c r="D358" s="41"/>
    </row>
    <row r="359" spans="2:4" x14ac:dyDescent="0.3">
      <c r="B359" s="39">
        <v>45478</v>
      </c>
      <c r="C359" s="40">
        <v>50.84</v>
      </c>
      <c r="D359" s="41"/>
    </row>
    <row r="360" spans="2:4" x14ac:dyDescent="0.3">
      <c r="B360" s="39">
        <v>45476</v>
      </c>
      <c r="C360" s="40">
        <v>51.26</v>
      </c>
      <c r="D360" s="41"/>
    </row>
    <row r="361" spans="2:4" x14ac:dyDescent="0.3">
      <c r="B361" s="39">
        <v>45475</v>
      </c>
      <c r="C361" s="40">
        <v>50.75</v>
      </c>
      <c r="D361" s="41"/>
    </row>
    <row r="362" spans="2:4" x14ac:dyDescent="0.3">
      <c r="B362" s="39">
        <v>45474</v>
      </c>
      <c r="C362" s="40">
        <v>50.33</v>
      </c>
      <c r="D362" s="41"/>
    </row>
    <row r="363" spans="2:4" x14ac:dyDescent="0.3">
      <c r="B363" s="39">
        <v>45471</v>
      </c>
      <c r="C363" s="40">
        <v>49.6</v>
      </c>
      <c r="D363" s="41"/>
    </row>
    <row r="364" spans="2:4" x14ac:dyDescent="0.3">
      <c r="B364" s="39">
        <v>45470</v>
      </c>
      <c r="C364" s="40">
        <v>49.7</v>
      </c>
      <c r="D364" s="41"/>
    </row>
    <row r="365" spans="2:4" x14ac:dyDescent="0.3">
      <c r="B365" s="39">
        <v>45469</v>
      </c>
      <c r="C365" s="40">
        <v>49.9</v>
      </c>
      <c r="D365" s="41"/>
    </row>
    <row r="366" spans="2:4" x14ac:dyDescent="0.3">
      <c r="B366" s="39">
        <v>45468</v>
      </c>
      <c r="C366" s="40">
        <v>49.7</v>
      </c>
      <c r="D366" s="41"/>
    </row>
    <row r="367" spans="2:4" x14ac:dyDescent="0.3">
      <c r="B367" s="39">
        <v>45467</v>
      </c>
      <c r="C367" s="40">
        <v>50.21</v>
      </c>
      <c r="D367" s="41"/>
    </row>
    <row r="368" spans="2:4" x14ac:dyDescent="0.3">
      <c r="B368" s="39">
        <v>45464</v>
      </c>
      <c r="C368" s="40">
        <v>50.17</v>
      </c>
      <c r="D368" s="41"/>
    </row>
    <row r="369" spans="2:4" x14ac:dyDescent="0.3">
      <c r="B369" s="39">
        <v>45463</v>
      </c>
      <c r="C369" s="40">
        <v>49.86</v>
      </c>
      <c r="D369" s="41"/>
    </row>
    <row r="370" spans="2:4" x14ac:dyDescent="0.3">
      <c r="B370" s="39">
        <v>45461</v>
      </c>
      <c r="C370" s="40">
        <v>49.16</v>
      </c>
      <c r="D370" s="41"/>
    </row>
    <row r="371" spans="2:4" x14ac:dyDescent="0.3">
      <c r="B371" s="39">
        <v>45460</v>
      </c>
      <c r="C371" s="40">
        <v>50.02</v>
      </c>
      <c r="D371" s="41"/>
    </row>
    <row r="372" spans="2:4" x14ac:dyDescent="0.3">
      <c r="B372" s="39">
        <v>45457</v>
      </c>
      <c r="C372" s="40">
        <v>50.49</v>
      </c>
      <c r="D372" s="41"/>
    </row>
    <row r="373" spans="2:4" x14ac:dyDescent="0.3">
      <c r="B373" s="39">
        <v>45456</v>
      </c>
      <c r="C373" s="40">
        <v>51.02</v>
      </c>
      <c r="D373" s="41"/>
    </row>
    <row r="374" spans="2:4" x14ac:dyDescent="0.3">
      <c r="B374" s="39">
        <v>45455</v>
      </c>
      <c r="C374" s="40">
        <v>52.34</v>
      </c>
      <c r="D374" s="41"/>
    </row>
    <row r="375" spans="2:4" x14ac:dyDescent="0.3">
      <c r="B375" s="39">
        <v>45454</v>
      </c>
      <c r="C375" s="40">
        <v>50.93</v>
      </c>
      <c r="D375" s="41"/>
    </row>
    <row r="376" spans="2:4" x14ac:dyDescent="0.3">
      <c r="B376" s="39">
        <v>45453</v>
      </c>
      <c r="C376" s="40">
        <v>50.68</v>
      </c>
      <c r="D376" s="41"/>
    </row>
    <row r="377" spans="2:4" x14ac:dyDescent="0.3">
      <c r="B377" s="39">
        <v>45450</v>
      </c>
      <c r="C377" s="40">
        <v>51.53</v>
      </c>
      <c r="D377" s="41"/>
    </row>
    <row r="378" spans="2:4" x14ac:dyDescent="0.3">
      <c r="B378" s="39">
        <v>45449</v>
      </c>
      <c r="C378" s="40">
        <v>51.66</v>
      </c>
      <c r="D378" s="41"/>
    </row>
    <row r="379" spans="2:4" x14ac:dyDescent="0.3">
      <c r="B379" s="39">
        <v>45448</v>
      </c>
      <c r="C379" s="40">
        <v>49.52</v>
      </c>
      <c r="D379" s="41"/>
    </row>
  </sheetData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95D2-2A09-45CF-B50F-82C792522AC0}">
  <sheetPr codeName="Sheet6"/>
  <dimension ref="B1:Q77"/>
  <sheetViews>
    <sheetView showGridLines="0" zoomScaleNormal="100" workbookViewId="0">
      <selection activeCell="B2" sqref="B2:M2"/>
    </sheetView>
  </sheetViews>
  <sheetFormatPr defaultRowHeight="14.4" x14ac:dyDescent="0.3"/>
  <cols>
    <col min="1" max="1" width="4.77734375" customWidth="1"/>
    <col min="2" max="2" width="47.33203125" bestFit="1" customWidth="1"/>
    <col min="3" max="8" width="10.88671875" bestFit="1" customWidth="1"/>
    <col min="11" max="11" width="22.88671875" bestFit="1" customWidth="1"/>
    <col min="12" max="12" width="7.33203125" bestFit="1" customWidth="1"/>
    <col min="13" max="13" width="7.6640625" bestFit="1" customWidth="1"/>
    <col min="14" max="17" width="7.33203125" bestFit="1" customWidth="1"/>
  </cols>
  <sheetData>
    <row r="1" spans="2:17" x14ac:dyDescent="0.3">
      <c r="B1" s="455"/>
      <c r="C1" s="455"/>
      <c r="D1" s="455"/>
      <c r="E1" s="455"/>
    </row>
    <row r="2" spans="2:17" ht="18" x14ac:dyDescent="0.35">
      <c r="B2" s="457" t="s">
        <v>449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2:17" x14ac:dyDescent="0.3">
      <c r="B3" s="45" t="s">
        <v>327</v>
      </c>
    </row>
    <row r="5" spans="2:17" x14ac:dyDescent="0.3">
      <c r="B5" s="45" t="s">
        <v>328</v>
      </c>
      <c r="C5" s="46"/>
    </row>
    <row r="6" spans="2:17" x14ac:dyDescent="0.3">
      <c r="B6" s="45" t="s">
        <v>329</v>
      </c>
      <c r="C6" s="46"/>
    </row>
    <row r="7" spans="2:17" x14ac:dyDescent="0.3">
      <c r="B7" s="45" t="s">
        <v>404</v>
      </c>
      <c r="C7" s="46"/>
    </row>
    <row r="8" spans="2:17" x14ac:dyDescent="0.3">
      <c r="B8" s="45" t="s">
        <v>331</v>
      </c>
      <c r="C8" s="46"/>
    </row>
    <row r="9" spans="2:17" x14ac:dyDescent="0.3">
      <c r="B9" s="45" t="s">
        <v>332</v>
      </c>
      <c r="C9" s="46"/>
    </row>
    <row r="10" spans="2:17" x14ac:dyDescent="0.3">
      <c r="B10" s="45" t="s">
        <v>405</v>
      </c>
      <c r="C10" s="46"/>
    </row>
    <row r="11" spans="2:17" x14ac:dyDescent="0.3">
      <c r="B11" s="45" t="s">
        <v>406</v>
      </c>
      <c r="C11" s="46"/>
    </row>
    <row r="12" spans="2:17" x14ac:dyDescent="0.3">
      <c r="B12" s="456"/>
      <c r="C12" s="456"/>
      <c r="D12" s="456"/>
      <c r="E12" s="456"/>
      <c r="F12" s="456"/>
      <c r="G12" s="456"/>
      <c r="H12" s="456"/>
    </row>
    <row r="13" spans="2:17" x14ac:dyDescent="0.3">
      <c r="B13" s="47" t="s">
        <v>335</v>
      </c>
      <c r="C13" s="54">
        <v>2019</v>
      </c>
      <c r="D13" s="54">
        <f>C13+1</f>
        <v>2020</v>
      </c>
      <c r="E13" s="54">
        <f t="shared" ref="E13:H13" si="0">D13+1</f>
        <v>2021</v>
      </c>
      <c r="F13" s="54">
        <f t="shared" si="0"/>
        <v>2022</v>
      </c>
      <c r="G13" s="54">
        <f t="shared" si="0"/>
        <v>2023</v>
      </c>
      <c r="H13" s="54">
        <f t="shared" si="0"/>
        <v>2024</v>
      </c>
      <c r="L13" s="54">
        <v>2019</v>
      </c>
      <c r="M13" s="54">
        <f>L13+1</f>
        <v>2020</v>
      </c>
      <c r="N13" s="54">
        <f t="shared" ref="N13:Q13" si="1">M13+1</f>
        <v>2021</v>
      </c>
      <c r="O13" s="54">
        <f t="shared" si="1"/>
        <v>2022</v>
      </c>
      <c r="P13" s="54">
        <f t="shared" si="1"/>
        <v>2023</v>
      </c>
      <c r="Q13" s="54">
        <f t="shared" si="1"/>
        <v>2024</v>
      </c>
    </row>
    <row r="14" spans="2:17" ht="28.8" x14ac:dyDescent="0.3">
      <c r="B14" s="45" t="s">
        <v>340</v>
      </c>
      <c r="C14" s="48" t="s">
        <v>341</v>
      </c>
      <c r="D14" s="48" t="s">
        <v>341</v>
      </c>
      <c r="E14" s="48" t="s">
        <v>341</v>
      </c>
      <c r="F14" s="48" t="s">
        <v>341</v>
      </c>
      <c r="G14" s="48" t="s">
        <v>341</v>
      </c>
      <c r="H14" s="48" t="s">
        <v>341</v>
      </c>
      <c r="K14" s="45" t="s">
        <v>450</v>
      </c>
      <c r="L14" s="51">
        <v>43537.5</v>
      </c>
      <c r="M14" s="51">
        <v>-27037.5</v>
      </c>
      <c r="N14" s="51">
        <v>120162.5</v>
      </c>
      <c r="O14" s="51">
        <v>227012.5</v>
      </c>
      <c r="P14" s="51">
        <v>120600</v>
      </c>
      <c r="Q14" s="51">
        <v>281550</v>
      </c>
    </row>
    <row r="15" spans="2:17" x14ac:dyDescent="0.3">
      <c r="B15" s="45" t="s">
        <v>342</v>
      </c>
      <c r="C15" s="49">
        <v>43830</v>
      </c>
      <c r="D15" s="49">
        <v>44196</v>
      </c>
      <c r="E15" s="49">
        <v>44561</v>
      </c>
      <c r="F15" s="49">
        <v>44926</v>
      </c>
      <c r="G15" s="49">
        <v>45291</v>
      </c>
      <c r="H15" s="49">
        <v>45657</v>
      </c>
    </row>
    <row r="16" spans="2:17" x14ac:dyDescent="0.3">
      <c r="B16" s="45" t="s">
        <v>343</v>
      </c>
      <c r="C16" s="49">
        <v>44620</v>
      </c>
      <c r="D16" s="49">
        <v>44986</v>
      </c>
      <c r="E16" s="49">
        <v>45350</v>
      </c>
      <c r="F16" s="49">
        <v>45716</v>
      </c>
      <c r="G16" s="49">
        <v>45716</v>
      </c>
      <c r="H16" s="49">
        <v>45716</v>
      </c>
    </row>
    <row r="17" spans="2:8" x14ac:dyDescent="0.3">
      <c r="B17" s="45" t="s">
        <v>412</v>
      </c>
      <c r="C17" s="50">
        <v>1</v>
      </c>
      <c r="D17" s="50">
        <v>1</v>
      </c>
      <c r="E17" s="50">
        <v>1</v>
      </c>
      <c r="F17" s="50">
        <v>1</v>
      </c>
      <c r="G17" s="50">
        <v>1</v>
      </c>
      <c r="H17" s="50">
        <v>1</v>
      </c>
    </row>
    <row r="18" spans="2:8" x14ac:dyDescent="0.3">
      <c r="B18" s="45" t="s">
        <v>413</v>
      </c>
      <c r="C18" s="50">
        <v>1</v>
      </c>
      <c r="D18" s="50">
        <v>1</v>
      </c>
      <c r="E18" s="50">
        <v>1</v>
      </c>
      <c r="F18" s="50">
        <v>1</v>
      </c>
      <c r="G18" s="50">
        <v>1</v>
      </c>
      <c r="H18" s="50">
        <v>1</v>
      </c>
    </row>
    <row r="19" spans="2:8" x14ac:dyDescent="0.3">
      <c r="B19" s="45" t="s">
        <v>340</v>
      </c>
      <c r="C19" s="48"/>
      <c r="D19" s="48"/>
      <c r="E19" s="48"/>
      <c r="F19" s="48"/>
      <c r="G19" s="48"/>
      <c r="H19" s="48"/>
    </row>
    <row r="20" spans="2:8" x14ac:dyDescent="0.3">
      <c r="B20" s="44" t="s">
        <v>451</v>
      </c>
      <c r="C20" s="48"/>
      <c r="D20" s="48"/>
      <c r="E20" s="48"/>
      <c r="F20" s="48"/>
      <c r="G20" s="48"/>
      <c r="H20" s="48"/>
    </row>
    <row r="21" spans="2:8" x14ac:dyDescent="0.3">
      <c r="B21" s="45" t="s">
        <v>452</v>
      </c>
      <c r="C21" s="51">
        <v>281300</v>
      </c>
      <c r="D21" s="51">
        <v>188200</v>
      </c>
      <c r="E21" s="51">
        <v>367500</v>
      </c>
      <c r="F21" s="51">
        <v>431900</v>
      </c>
      <c r="G21" s="51">
        <v>570300</v>
      </c>
      <c r="H21" s="51">
        <v>579700</v>
      </c>
    </row>
    <row r="22" spans="2:8" x14ac:dyDescent="0.3">
      <c r="B22" s="45" t="s">
        <v>453</v>
      </c>
      <c r="C22" s="51">
        <v>160300</v>
      </c>
      <c r="D22" s="51">
        <v>164300</v>
      </c>
      <c r="E22" s="51">
        <v>157600</v>
      </c>
      <c r="F22" s="51">
        <v>199200</v>
      </c>
      <c r="G22" s="51">
        <v>229200</v>
      </c>
      <c r="H22" s="51">
        <v>236000</v>
      </c>
    </row>
    <row r="23" spans="2:8" x14ac:dyDescent="0.3">
      <c r="B23" s="45" t="s">
        <v>362</v>
      </c>
      <c r="C23" s="51">
        <v>6085700</v>
      </c>
      <c r="D23" s="51">
        <v>6701300</v>
      </c>
      <c r="E23" s="51">
        <v>7166200</v>
      </c>
      <c r="F23" s="51">
        <v>8463500</v>
      </c>
      <c r="G23" s="51">
        <v>9010900</v>
      </c>
      <c r="H23" s="51">
        <v>9117000</v>
      </c>
    </row>
    <row r="24" spans="2:8" x14ac:dyDescent="0.3">
      <c r="B24" s="45" t="s">
        <v>22</v>
      </c>
      <c r="C24" s="51">
        <v>434700</v>
      </c>
      <c r="D24" s="51">
        <v>523700</v>
      </c>
      <c r="E24" s="51">
        <v>809200</v>
      </c>
      <c r="F24" s="51">
        <v>823000</v>
      </c>
      <c r="G24" s="51">
        <v>673300</v>
      </c>
      <c r="H24" s="51">
        <v>653200</v>
      </c>
    </row>
    <row r="25" spans="2:8" x14ac:dyDescent="0.3">
      <c r="B25" s="45" t="s">
        <v>49</v>
      </c>
      <c r="C25" s="51">
        <v>716000</v>
      </c>
      <c r="D25" s="51">
        <v>711900</v>
      </c>
      <c r="E25" s="51">
        <v>1176700</v>
      </c>
      <c r="F25" s="51">
        <v>1254900</v>
      </c>
      <c r="G25" s="51">
        <v>1243600</v>
      </c>
      <c r="H25" s="51">
        <v>1232900</v>
      </c>
    </row>
    <row r="26" spans="2:8" x14ac:dyDescent="0.3">
      <c r="B26" s="45" t="s">
        <v>454</v>
      </c>
      <c r="C26" s="51">
        <v>1882300</v>
      </c>
      <c r="D26" s="51">
        <v>2098200</v>
      </c>
      <c r="E26" s="51">
        <v>2227500</v>
      </c>
      <c r="F26" s="51">
        <v>2109400</v>
      </c>
      <c r="G26" s="51">
        <v>2398200</v>
      </c>
      <c r="H26" s="51">
        <v>2546300</v>
      </c>
    </row>
    <row r="27" spans="2:8" x14ac:dyDescent="0.3">
      <c r="B27" s="45" t="s">
        <v>380</v>
      </c>
      <c r="C27" s="51">
        <v>1882300</v>
      </c>
      <c r="D27" s="51">
        <v>2098200</v>
      </c>
      <c r="E27" s="51">
        <v>2227500</v>
      </c>
      <c r="F27" s="51">
        <v>2109400</v>
      </c>
      <c r="G27" s="51">
        <v>2398200</v>
      </c>
      <c r="H27" s="51">
        <v>2546300</v>
      </c>
    </row>
    <row r="28" spans="2:8" x14ac:dyDescent="0.3">
      <c r="B28" s="45" t="s">
        <v>455</v>
      </c>
      <c r="C28" s="52">
        <v>1.075</v>
      </c>
      <c r="D28" s="52">
        <v>1.0669999999999999</v>
      </c>
      <c r="E28" s="52">
        <v>1.107</v>
      </c>
      <c r="F28" s="52">
        <v>1.071</v>
      </c>
      <c r="G28" s="52">
        <v>1.1160000000000001</v>
      </c>
      <c r="H28" s="52">
        <v>1.1259999999999999</v>
      </c>
    </row>
    <row r="29" spans="2:8" x14ac:dyDescent="0.3">
      <c r="B29" s="45" t="s">
        <v>456</v>
      </c>
      <c r="C29" s="52">
        <v>0.107</v>
      </c>
      <c r="D29" s="52">
        <v>7.4999999999999997E-2</v>
      </c>
      <c r="E29" s="52">
        <v>0.13700000000000001</v>
      </c>
      <c r="F29" s="52">
        <v>0.12</v>
      </c>
      <c r="G29" s="52">
        <v>0.15</v>
      </c>
      <c r="H29" s="52">
        <v>0.159</v>
      </c>
    </row>
    <row r="30" spans="2:8" x14ac:dyDescent="0.3">
      <c r="B30" s="45" t="s">
        <v>457</v>
      </c>
      <c r="C30" s="52">
        <v>38.039000000000001</v>
      </c>
      <c r="D30" s="52">
        <v>33.929000000000002</v>
      </c>
      <c r="E30" s="52">
        <v>52.826000000000001</v>
      </c>
      <c r="F30" s="52">
        <v>59.491</v>
      </c>
      <c r="G30" s="52">
        <v>51.856000000000002</v>
      </c>
      <c r="H30" s="52">
        <v>48.418999999999997</v>
      </c>
    </row>
    <row r="31" spans="2:8" x14ac:dyDescent="0.3">
      <c r="B31" s="45" t="s">
        <v>458</v>
      </c>
      <c r="C31" s="52">
        <v>27.556000000000001</v>
      </c>
      <c r="D31" s="52">
        <v>25.334</v>
      </c>
      <c r="E31" s="52">
        <v>34.566000000000003</v>
      </c>
      <c r="F31" s="52">
        <v>37.299999999999997</v>
      </c>
      <c r="G31" s="52">
        <v>34.148000000000003</v>
      </c>
      <c r="H31" s="52">
        <v>32.622999999999998</v>
      </c>
    </row>
    <row r="32" spans="2:8" x14ac:dyDescent="0.3">
      <c r="B32" s="45" t="s">
        <v>459</v>
      </c>
      <c r="C32" s="52">
        <v>6.8650000000000002</v>
      </c>
      <c r="D32" s="52">
        <v>15.115</v>
      </c>
      <c r="E32" s="48" t="s">
        <v>460</v>
      </c>
      <c r="F32" s="52">
        <v>55.773000000000003</v>
      </c>
      <c r="G32" s="52">
        <v>5.62</v>
      </c>
      <c r="H32" s="52">
        <v>4.9960000000000004</v>
      </c>
    </row>
    <row r="33" spans="2:8" x14ac:dyDescent="0.3">
      <c r="B33" s="45" t="s">
        <v>340</v>
      </c>
      <c r="C33" s="48"/>
      <c r="D33" s="48"/>
      <c r="E33" s="48"/>
      <c r="F33" s="48"/>
      <c r="G33" s="48"/>
      <c r="H33" s="48"/>
    </row>
    <row r="34" spans="2:8" x14ac:dyDescent="0.3">
      <c r="B34" s="44" t="s">
        <v>461</v>
      </c>
      <c r="C34" s="48"/>
      <c r="D34" s="48"/>
      <c r="E34" s="48"/>
      <c r="F34" s="48"/>
      <c r="G34" s="48"/>
      <c r="H34" s="48"/>
    </row>
    <row r="35" spans="2:8" x14ac:dyDescent="0.3">
      <c r="B35" s="45" t="s">
        <v>195</v>
      </c>
      <c r="C35" s="51">
        <v>824100</v>
      </c>
      <c r="D35" s="51">
        <v>842500</v>
      </c>
      <c r="E35" s="51">
        <v>1024200</v>
      </c>
      <c r="F35" s="51">
        <v>1246200</v>
      </c>
      <c r="G35" s="51">
        <v>1513700</v>
      </c>
      <c r="H35" s="51">
        <v>1760000</v>
      </c>
    </row>
    <row r="36" spans="2:8" x14ac:dyDescent="0.3">
      <c r="B36" s="45" t="s">
        <v>462</v>
      </c>
      <c r="C36" s="51">
        <v>404600</v>
      </c>
      <c r="D36" s="51">
        <v>381800</v>
      </c>
      <c r="E36" s="51">
        <v>433200</v>
      </c>
      <c r="F36" s="51">
        <v>528200</v>
      </c>
      <c r="G36" s="51">
        <v>713300</v>
      </c>
      <c r="H36" s="51">
        <v>892500</v>
      </c>
    </row>
    <row r="37" spans="2:8" x14ac:dyDescent="0.3">
      <c r="B37" s="45" t="s">
        <v>463</v>
      </c>
      <c r="C37" s="51">
        <v>78700</v>
      </c>
      <c r="D37" s="51">
        <v>-4000</v>
      </c>
      <c r="E37" s="51">
        <v>-75400</v>
      </c>
      <c r="F37" s="51">
        <v>-73400</v>
      </c>
      <c r="G37" s="51">
        <v>54800</v>
      </c>
      <c r="H37" s="51">
        <v>18100</v>
      </c>
    </row>
    <row r="38" spans="2:8" x14ac:dyDescent="0.3">
      <c r="B38" s="45" t="s">
        <v>217</v>
      </c>
      <c r="C38" s="51">
        <v>78700</v>
      </c>
      <c r="D38" s="51">
        <v>-4000</v>
      </c>
      <c r="E38" s="51">
        <v>-75400</v>
      </c>
      <c r="F38" s="51">
        <v>-73400</v>
      </c>
      <c r="G38" s="51">
        <v>54800</v>
      </c>
      <c r="H38" s="51">
        <v>18100</v>
      </c>
    </row>
    <row r="39" spans="2:8" x14ac:dyDescent="0.3">
      <c r="B39" s="45" t="s">
        <v>14</v>
      </c>
      <c r="C39" s="51">
        <v>95900</v>
      </c>
      <c r="D39" s="51">
        <v>42100</v>
      </c>
      <c r="E39" s="51">
        <v>-25000</v>
      </c>
      <c r="F39" s="51">
        <v>13200</v>
      </c>
      <c r="G39" s="51">
        <v>212900</v>
      </c>
      <c r="H39" s="51">
        <v>240300</v>
      </c>
    </row>
    <row r="40" spans="2:8" x14ac:dyDescent="0.3">
      <c r="B40" s="45" t="s">
        <v>35</v>
      </c>
      <c r="C40" s="51">
        <v>67100</v>
      </c>
      <c r="D40" s="51">
        <v>20900</v>
      </c>
      <c r="E40" s="51">
        <v>-65500</v>
      </c>
      <c r="F40" s="51">
        <v>-32300</v>
      </c>
      <c r="G40" s="51">
        <v>134400</v>
      </c>
      <c r="H40" s="51">
        <v>101200</v>
      </c>
    </row>
    <row r="41" spans="2:8" x14ac:dyDescent="0.3">
      <c r="B41" s="45" t="s">
        <v>464</v>
      </c>
      <c r="C41" s="52">
        <v>3.2189999999999999</v>
      </c>
      <c r="D41" s="52">
        <v>1.8759999999999999</v>
      </c>
      <c r="E41" s="48" t="s">
        <v>460</v>
      </c>
      <c r="F41" s="52">
        <v>0.78700000000000003</v>
      </c>
      <c r="G41" s="52">
        <v>6.13</v>
      </c>
      <c r="H41" s="52">
        <v>6.0789999999999997</v>
      </c>
    </row>
    <row r="42" spans="2:8" x14ac:dyDescent="0.3">
      <c r="B42" s="45" t="s">
        <v>465</v>
      </c>
      <c r="C42" s="52">
        <v>2.0710000000000002</v>
      </c>
      <c r="D42" s="52">
        <v>0.83299999999999996</v>
      </c>
      <c r="E42" s="48" t="s">
        <v>460</v>
      </c>
      <c r="F42" s="48" t="s">
        <v>460</v>
      </c>
      <c r="G42" s="52">
        <v>3.7229999999999999</v>
      </c>
      <c r="H42" s="52">
        <v>2.4929999999999999</v>
      </c>
    </row>
    <row r="43" spans="2:8" x14ac:dyDescent="0.3">
      <c r="B43" s="45" t="s">
        <v>466</v>
      </c>
      <c r="C43" s="53">
        <v>28.146999999999998</v>
      </c>
      <c r="D43" s="53">
        <v>34.145000000000003</v>
      </c>
      <c r="E43" s="53">
        <v>37.418999999999997</v>
      </c>
      <c r="F43" s="53">
        <v>37.518999999999998</v>
      </c>
      <c r="G43" s="53">
        <v>35.844000000000001</v>
      </c>
      <c r="H43" s="53">
        <v>38.222000000000001</v>
      </c>
    </row>
    <row r="44" spans="2:8" x14ac:dyDescent="0.3">
      <c r="B44" s="45" t="s">
        <v>467</v>
      </c>
      <c r="C44" s="52">
        <v>12.968</v>
      </c>
      <c r="D44" s="52">
        <v>10.718999999999999</v>
      </c>
      <c r="E44" s="52">
        <v>9.7539999999999996</v>
      </c>
      <c r="F44" s="52">
        <v>9.7279999999999998</v>
      </c>
      <c r="G44" s="52">
        <v>10.183</v>
      </c>
      <c r="H44" s="52">
        <v>9.5760000000000005</v>
      </c>
    </row>
    <row r="45" spans="2:8" x14ac:dyDescent="0.3">
      <c r="B45" s="45" t="s">
        <v>468</v>
      </c>
      <c r="C45" s="52">
        <v>6.2270000000000003</v>
      </c>
      <c r="D45" s="52">
        <v>5.1909999999999998</v>
      </c>
      <c r="E45" s="52">
        <v>6.3630000000000004</v>
      </c>
      <c r="F45" s="52">
        <v>6.9850000000000003</v>
      </c>
      <c r="G45" s="52">
        <v>7.0670000000000002</v>
      </c>
      <c r="H45" s="52">
        <v>7.5670000000000002</v>
      </c>
    </row>
    <row r="46" spans="2:8" x14ac:dyDescent="0.3">
      <c r="B46" s="45" t="s">
        <v>469</v>
      </c>
      <c r="C46" s="52">
        <v>0.14499999999999999</v>
      </c>
      <c r="D46" s="52">
        <v>0.13200000000000001</v>
      </c>
      <c r="E46" s="52">
        <v>0.14799999999999999</v>
      </c>
      <c r="F46" s="52">
        <v>0.159</v>
      </c>
      <c r="G46" s="52">
        <v>0.17299999999999999</v>
      </c>
      <c r="H46" s="52">
        <v>0.19400000000000001</v>
      </c>
    </row>
    <row r="47" spans="2:8" x14ac:dyDescent="0.3">
      <c r="B47" s="45" t="s">
        <v>340</v>
      </c>
      <c r="C47" s="48"/>
      <c r="D47" s="48"/>
      <c r="E47" s="48"/>
      <c r="F47" s="48"/>
      <c r="G47" s="48"/>
      <c r="H47" s="48"/>
    </row>
    <row r="48" spans="2:8" x14ac:dyDescent="0.3">
      <c r="B48" s="44" t="s">
        <v>470</v>
      </c>
      <c r="C48" s="48"/>
      <c r="D48" s="48"/>
      <c r="E48" s="48"/>
      <c r="F48" s="48"/>
      <c r="G48" s="48"/>
      <c r="H48" s="48"/>
    </row>
    <row r="49" spans="2:8" x14ac:dyDescent="0.3">
      <c r="B49" s="45" t="s">
        <v>471</v>
      </c>
      <c r="C49" s="51">
        <v>50600</v>
      </c>
      <c r="D49" s="51">
        <v>-30200</v>
      </c>
      <c r="E49" s="51">
        <v>48800</v>
      </c>
      <c r="F49" s="51">
        <v>132600</v>
      </c>
      <c r="G49" s="51">
        <v>219500</v>
      </c>
      <c r="H49" s="51">
        <v>281100</v>
      </c>
    </row>
    <row r="50" spans="2:8" x14ac:dyDescent="0.3">
      <c r="B50" s="45" t="s">
        <v>227</v>
      </c>
      <c r="C50" s="51">
        <v>-119300</v>
      </c>
      <c r="D50" s="51">
        <v>38800</v>
      </c>
      <c r="E50" s="51">
        <v>-711100</v>
      </c>
      <c r="F50" s="51">
        <v>-342500</v>
      </c>
      <c r="G50" s="51">
        <v>-202800</v>
      </c>
      <c r="H50" s="51">
        <v>-471900</v>
      </c>
    </row>
    <row r="51" spans="2:8" x14ac:dyDescent="0.3">
      <c r="B51" s="45" t="s">
        <v>231</v>
      </c>
      <c r="C51" s="51">
        <v>609700</v>
      </c>
      <c r="D51" s="51">
        <v>565300</v>
      </c>
      <c r="E51" s="51">
        <v>491900</v>
      </c>
      <c r="F51" s="51">
        <v>764600</v>
      </c>
      <c r="G51" s="51">
        <v>242000</v>
      </c>
      <c r="H51" s="51">
        <v>59600</v>
      </c>
    </row>
    <row r="52" spans="2:8" x14ac:dyDescent="0.3">
      <c r="B52" s="45" t="s">
        <v>472</v>
      </c>
      <c r="C52" s="51">
        <v>11300</v>
      </c>
      <c r="D52" s="51">
        <v>-4000</v>
      </c>
      <c r="E52" s="51">
        <v>-21300</v>
      </c>
      <c r="F52" s="51">
        <v>-46800</v>
      </c>
      <c r="G52" s="51">
        <v>11500</v>
      </c>
      <c r="H52" s="51">
        <v>-36300</v>
      </c>
    </row>
    <row r="53" spans="2:8" x14ac:dyDescent="0.3">
      <c r="B53" s="45" t="s">
        <v>242</v>
      </c>
      <c r="C53" s="51">
        <v>552300</v>
      </c>
      <c r="D53" s="51">
        <v>569900</v>
      </c>
      <c r="E53" s="51">
        <v>-191700</v>
      </c>
      <c r="F53" s="51">
        <v>507900</v>
      </c>
      <c r="G53" s="51">
        <v>270200</v>
      </c>
      <c r="H53" s="51">
        <v>-167500</v>
      </c>
    </row>
    <row r="54" spans="2:8" x14ac:dyDescent="0.3">
      <c r="B54" s="45" t="s">
        <v>473</v>
      </c>
      <c r="C54" s="51">
        <v>-16300</v>
      </c>
      <c r="D54" s="51">
        <v>-18100</v>
      </c>
      <c r="E54" s="51">
        <v>-11500</v>
      </c>
      <c r="F54" s="51">
        <v>-20200</v>
      </c>
      <c r="G54" s="51">
        <v>-19000</v>
      </c>
      <c r="H54" s="51">
        <v>-14300</v>
      </c>
    </row>
    <row r="55" spans="2:8" x14ac:dyDescent="0.3">
      <c r="B55" s="45" t="s">
        <v>474</v>
      </c>
      <c r="C55" s="51">
        <v>36800</v>
      </c>
      <c r="D55" s="51">
        <v>97900</v>
      </c>
      <c r="E55" s="51">
        <v>-33900</v>
      </c>
      <c r="F55" s="51">
        <v>-107900</v>
      </c>
      <c r="G55" s="51">
        <v>118200</v>
      </c>
      <c r="H55" s="51">
        <v>37400</v>
      </c>
    </row>
    <row r="56" spans="2:8" x14ac:dyDescent="0.3">
      <c r="B56" s="45" t="s">
        <v>450</v>
      </c>
      <c r="C56" s="51">
        <v>43537.5</v>
      </c>
      <c r="D56" s="51">
        <v>-27037.5</v>
      </c>
      <c r="E56" s="51">
        <v>120162.5</v>
      </c>
      <c r="F56" s="51">
        <v>227012.5</v>
      </c>
      <c r="G56" s="51">
        <v>120600</v>
      </c>
      <c r="H56" s="51">
        <v>281550</v>
      </c>
    </row>
    <row r="57" spans="2:8" x14ac:dyDescent="0.3">
      <c r="B57" s="45" t="s">
        <v>475</v>
      </c>
      <c r="C57" s="51">
        <v>24487.5</v>
      </c>
      <c r="D57" s="51">
        <v>-41525</v>
      </c>
      <c r="E57" s="51">
        <v>114625</v>
      </c>
      <c r="F57" s="51">
        <v>213737.5</v>
      </c>
      <c r="G57" s="51">
        <v>102437.5</v>
      </c>
      <c r="H57" s="51">
        <v>260375</v>
      </c>
    </row>
    <row r="58" spans="2:8" x14ac:dyDescent="0.3">
      <c r="B58" s="45" t="s">
        <v>476</v>
      </c>
      <c r="C58" s="52">
        <v>1.4999999999999999E-2</v>
      </c>
      <c r="D58" s="48" t="s">
        <v>460</v>
      </c>
      <c r="E58" s="52">
        <v>1.2999999999999999E-2</v>
      </c>
      <c r="F58" s="52">
        <v>2.5999999999999999E-2</v>
      </c>
      <c r="G58" s="52">
        <v>4.1000000000000002E-2</v>
      </c>
      <c r="H58" s="52">
        <v>5.2999999999999999E-2</v>
      </c>
    </row>
    <row r="59" spans="2:8" x14ac:dyDescent="0.3">
      <c r="B59" s="45" t="s">
        <v>340</v>
      </c>
      <c r="C59" s="48"/>
      <c r="D59" s="48"/>
      <c r="E59" s="48"/>
      <c r="F59" s="48"/>
      <c r="G59" s="48"/>
      <c r="H59" s="48"/>
    </row>
    <row r="60" spans="2:8" x14ac:dyDescent="0.3">
      <c r="B60" s="44" t="s">
        <v>477</v>
      </c>
      <c r="C60" s="48"/>
      <c r="D60" s="48"/>
      <c r="E60" s="48"/>
      <c r="F60" s="48"/>
      <c r="G60" s="48"/>
      <c r="H60" s="48"/>
    </row>
    <row r="61" spans="2:8" x14ac:dyDescent="0.3">
      <c r="B61" s="45" t="s">
        <v>478</v>
      </c>
      <c r="C61" s="52">
        <v>0.74</v>
      </c>
      <c r="D61" s="52">
        <v>0.20399999999999999</v>
      </c>
      <c r="E61" s="52">
        <v>-0.59</v>
      </c>
      <c r="F61" s="52">
        <v>-0.25800000000000001</v>
      </c>
      <c r="G61" s="52">
        <v>0.96099999999999997</v>
      </c>
      <c r="H61" s="52">
        <v>0.69799999999999995</v>
      </c>
    </row>
    <row r="62" spans="2:8" x14ac:dyDescent="0.3">
      <c r="B62" s="45" t="s">
        <v>479</v>
      </c>
      <c r="C62" s="52">
        <v>1.7170000000000001</v>
      </c>
      <c r="D62" s="52">
        <v>0.48299999999999998</v>
      </c>
      <c r="E62" s="52">
        <v>-1.3180000000000001</v>
      </c>
      <c r="F62" s="52">
        <v>-0.59699999999999998</v>
      </c>
      <c r="G62" s="52">
        <v>2.3980000000000001</v>
      </c>
      <c r="H62" s="52">
        <v>1.7050000000000001</v>
      </c>
    </row>
    <row r="63" spans="2:8" x14ac:dyDescent="0.3">
      <c r="B63" s="45" t="s">
        <v>480</v>
      </c>
      <c r="C63" s="52">
        <v>4.5</v>
      </c>
      <c r="D63" s="52">
        <v>-0.20100000000000001</v>
      </c>
      <c r="E63" s="52">
        <v>-3.4860000000000002</v>
      </c>
      <c r="F63" s="52">
        <v>-3.3849999999999998</v>
      </c>
      <c r="G63" s="52">
        <v>2.431</v>
      </c>
      <c r="H63" s="52">
        <v>0.73199999999999998</v>
      </c>
    </row>
    <row r="64" spans="2:8" x14ac:dyDescent="0.3">
      <c r="B64" s="45" t="s">
        <v>481</v>
      </c>
      <c r="C64" s="52">
        <v>4.5</v>
      </c>
      <c r="D64" s="52">
        <v>-0.20100000000000001</v>
      </c>
      <c r="E64" s="52">
        <v>-3.4860000000000002</v>
      </c>
      <c r="F64" s="52">
        <v>-3.3849999999999998</v>
      </c>
      <c r="G64" s="52">
        <v>2.431</v>
      </c>
      <c r="H64" s="52">
        <v>0.73199999999999998</v>
      </c>
    </row>
    <row r="65" spans="2:8" x14ac:dyDescent="0.3">
      <c r="B65" s="45" t="s">
        <v>206</v>
      </c>
      <c r="C65" s="52">
        <v>49.095999999999997</v>
      </c>
      <c r="D65" s="52">
        <v>45.317999999999998</v>
      </c>
      <c r="E65" s="52">
        <v>42.295999999999999</v>
      </c>
      <c r="F65" s="52">
        <v>42.384999999999998</v>
      </c>
      <c r="G65" s="52">
        <v>47.122999999999998</v>
      </c>
      <c r="H65" s="52">
        <v>50.71</v>
      </c>
    </row>
    <row r="66" spans="2:8" x14ac:dyDescent="0.3">
      <c r="B66" s="45" t="s">
        <v>482</v>
      </c>
      <c r="C66" s="52">
        <v>9.5500000000000007</v>
      </c>
      <c r="D66" s="52">
        <v>-0.47499999999999998</v>
      </c>
      <c r="E66" s="52">
        <v>-7.3620000000000001</v>
      </c>
      <c r="F66" s="52">
        <v>-5.89</v>
      </c>
      <c r="G66" s="52">
        <v>3.62</v>
      </c>
      <c r="H66" s="52">
        <v>1.028</v>
      </c>
    </row>
    <row r="67" spans="2:8" x14ac:dyDescent="0.3">
      <c r="B67" s="45" t="s">
        <v>483</v>
      </c>
      <c r="C67" s="52">
        <v>9.5500000000000007</v>
      </c>
      <c r="D67" s="52">
        <v>-0.47499999999999998</v>
      </c>
      <c r="E67" s="52">
        <v>-7.3620000000000001</v>
      </c>
      <c r="F67" s="52">
        <v>-5.89</v>
      </c>
      <c r="G67" s="52">
        <v>3.62</v>
      </c>
      <c r="H67" s="52">
        <v>1.028</v>
      </c>
    </row>
    <row r="68" spans="2:8" x14ac:dyDescent="0.3">
      <c r="B68" s="45" t="s">
        <v>220</v>
      </c>
      <c r="C68" s="52">
        <v>11.637</v>
      </c>
      <c r="D68" s="52">
        <v>4.9969999999999999</v>
      </c>
      <c r="E68" s="52">
        <v>-2.4409999999999998</v>
      </c>
      <c r="F68" s="52">
        <v>1.0589999999999999</v>
      </c>
      <c r="G68" s="52">
        <v>14.065</v>
      </c>
      <c r="H68" s="52">
        <v>13.653</v>
      </c>
    </row>
    <row r="69" spans="2:8" x14ac:dyDescent="0.3">
      <c r="B69" s="45" t="s">
        <v>211</v>
      </c>
      <c r="C69" s="52">
        <v>8.1419999999999995</v>
      </c>
      <c r="D69" s="52">
        <v>2.4809999999999999</v>
      </c>
      <c r="E69" s="52">
        <v>-6.3949999999999996</v>
      </c>
      <c r="F69" s="52">
        <v>-2.5920000000000001</v>
      </c>
      <c r="G69" s="52">
        <v>8.8789999999999996</v>
      </c>
      <c r="H69" s="52">
        <v>5.75</v>
      </c>
    </row>
    <row r="70" spans="2:8" x14ac:dyDescent="0.3">
      <c r="B70" s="45" t="s">
        <v>340</v>
      </c>
      <c r="C70" s="48"/>
      <c r="D70" s="48"/>
      <c r="E70" s="48"/>
      <c r="F70" s="48"/>
      <c r="G70" s="48"/>
      <c r="H70" s="48"/>
    </row>
    <row r="71" spans="2:8" x14ac:dyDescent="0.3">
      <c r="B71" s="44" t="s">
        <v>484</v>
      </c>
      <c r="C71" s="48"/>
      <c r="D71" s="48"/>
      <c r="E71" s="48"/>
      <c r="F71" s="48"/>
      <c r="G71" s="48"/>
      <c r="H71" s="48"/>
    </row>
    <row r="72" spans="2:8" x14ac:dyDescent="0.3">
      <c r="B72" s="45" t="s">
        <v>485</v>
      </c>
      <c r="C72" s="52">
        <v>0.55400000000000005</v>
      </c>
      <c r="D72" s="52">
        <v>-2.7E-2</v>
      </c>
      <c r="E72" s="52">
        <v>-0.501</v>
      </c>
      <c r="F72" s="52">
        <v>-0.48</v>
      </c>
      <c r="G72" s="52">
        <v>0.35299999999999998</v>
      </c>
      <c r="H72" s="52">
        <v>0.115</v>
      </c>
    </row>
    <row r="73" spans="2:8" x14ac:dyDescent="0.3">
      <c r="B73" s="45" t="s">
        <v>486</v>
      </c>
      <c r="C73" s="52">
        <v>0.55400000000000005</v>
      </c>
      <c r="D73" s="52">
        <v>-2.7E-2</v>
      </c>
      <c r="E73" s="52">
        <v>-0.501</v>
      </c>
      <c r="F73" s="52">
        <v>-0.48</v>
      </c>
      <c r="G73" s="52">
        <v>0.35299999999999998</v>
      </c>
      <c r="H73" s="52">
        <v>0.115</v>
      </c>
    </row>
    <row r="74" spans="2:8" x14ac:dyDescent="0.3">
      <c r="B74" s="45" t="s">
        <v>487</v>
      </c>
      <c r="C74" s="52">
        <v>0.53</v>
      </c>
      <c r="D74" s="52">
        <v>-0.03</v>
      </c>
      <c r="E74" s="52">
        <v>-0.501</v>
      </c>
      <c r="F74" s="52">
        <v>-0.48</v>
      </c>
      <c r="G74" s="52">
        <v>0.35</v>
      </c>
      <c r="H74" s="52">
        <v>0.11</v>
      </c>
    </row>
    <row r="75" spans="2:8" x14ac:dyDescent="0.3">
      <c r="B75" s="45" t="s">
        <v>488</v>
      </c>
      <c r="C75" s="52">
        <v>0.53</v>
      </c>
      <c r="D75" s="52">
        <v>-0.03</v>
      </c>
      <c r="E75" s="52">
        <v>-0.501</v>
      </c>
      <c r="F75" s="52">
        <v>-0.48</v>
      </c>
      <c r="G75" s="52">
        <v>0.35</v>
      </c>
      <c r="H75" s="52">
        <v>0.11</v>
      </c>
    </row>
    <row r="76" spans="2:8" x14ac:dyDescent="0.3">
      <c r="B76" s="45" t="s">
        <v>489</v>
      </c>
      <c r="C76" s="51">
        <v>142049112</v>
      </c>
      <c r="D76" s="51">
        <v>146774471</v>
      </c>
      <c r="E76" s="51">
        <v>150400000</v>
      </c>
      <c r="F76" s="51">
        <v>152900000</v>
      </c>
      <c r="G76" s="51">
        <v>155300000</v>
      </c>
      <c r="H76" s="51">
        <v>157800000</v>
      </c>
    </row>
    <row r="77" spans="2:8" x14ac:dyDescent="0.3">
      <c r="B77" s="45" t="s">
        <v>490</v>
      </c>
      <c r="C77" s="51">
        <v>148756592</v>
      </c>
      <c r="D77" s="51">
        <v>146774471</v>
      </c>
      <c r="E77" s="51">
        <v>150400000</v>
      </c>
      <c r="F77" s="51">
        <v>152900000</v>
      </c>
      <c r="G77" s="51">
        <v>158500000</v>
      </c>
      <c r="H77" s="51">
        <v>160400000</v>
      </c>
    </row>
  </sheetData>
  <mergeCells count="3">
    <mergeCell ref="B1:E1"/>
    <mergeCell ref="B12:H12"/>
    <mergeCell ref="B2:M2"/>
  </mergeCell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EBE7A-27F1-4040-8BDD-FD0762F83F2F}">
  <sheetPr codeName="Sheet7"/>
  <dimension ref="B1:M67"/>
  <sheetViews>
    <sheetView showGridLines="0" workbookViewId="0">
      <selection activeCell="B2" sqref="B2:M2"/>
    </sheetView>
  </sheetViews>
  <sheetFormatPr defaultRowHeight="14.4" x14ac:dyDescent="0.3"/>
  <cols>
    <col min="1" max="1" width="4.77734375" customWidth="1"/>
    <col min="2" max="2" width="48.33203125" customWidth="1"/>
    <col min="3" max="6" width="16.109375" customWidth="1"/>
  </cols>
  <sheetData>
    <row r="1" spans="2:13" ht="40.200000000000003" customHeight="1" x14ac:dyDescent="0.3">
      <c r="B1" s="455"/>
      <c r="C1" s="455"/>
      <c r="D1" s="455"/>
      <c r="E1" s="455"/>
    </row>
    <row r="2" spans="2:13" ht="30" customHeight="1" x14ac:dyDescent="0.35">
      <c r="B2" s="457" t="s">
        <v>491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2:13" x14ac:dyDescent="0.3">
      <c r="B3" s="45" t="s">
        <v>327</v>
      </c>
    </row>
    <row r="5" spans="2:13" x14ac:dyDescent="0.3">
      <c r="B5" s="45" t="s">
        <v>328</v>
      </c>
      <c r="C5" s="46"/>
    </row>
    <row r="6" spans="2:13" x14ac:dyDescent="0.3">
      <c r="B6" s="45" t="s">
        <v>329</v>
      </c>
      <c r="C6" s="46"/>
    </row>
    <row r="7" spans="2:13" x14ac:dyDescent="0.3">
      <c r="B7" s="45" t="s">
        <v>404</v>
      </c>
      <c r="C7" s="46"/>
    </row>
    <row r="8" spans="2:13" x14ac:dyDescent="0.3">
      <c r="B8" s="45" t="s">
        <v>331</v>
      </c>
      <c r="C8" s="46"/>
    </row>
    <row r="9" spans="2:13" x14ac:dyDescent="0.3">
      <c r="B9" s="45" t="s">
        <v>332</v>
      </c>
      <c r="C9" s="46"/>
    </row>
    <row r="10" spans="2:13" x14ac:dyDescent="0.3">
      <c r="B10" s="45" t="s">
        <v>333</v>
      </c>
      <c r="C10" s="46"/>
    </row>
    <row r="11" spans="2:13" x14ac:dyDescent="0.3">
      <c r="B11" s="45" t="s">
        <v>334</v>
      </c>
      <c r="C11" s="46"/>
    </row>
    <row r="12" spans="2:13" x14ac:dyDescent="0.3">
      <c r="B12" s="456"/>
      <c r="C12" s="456"/>
      <c r="D12" s="456"/>
      <c r="E12" s="456"/>
      <c r="F12" s="456"/>
    </row>
    <row r="13" spans="2:13" x14ac:dyDescent="0.3">
      <c r="B13" s="47" t="s">
        <v>335</v>
      </c>
      <c r="C13" s="62" t="s">
        <v>408</v>
      </c>
      <c r="D13" s="62" t="s">
        <v>409</v>
      </c>
      <c r="E13" s="62" t="s">
        <v>410</v>
      </c>
      <c r="F13" s="62" t="s">
        <v>411</v>
      </c>
    </row>
    <row r="14" spans="2:13" x14ac:dyDescent="0.3">
      <c r="B14" s="45" t="s">
        <v>340</v>
      </c>
      <c r="C14" s="48" t="s">
        <v>341</v>
      </c>
      <c r="D14" s="48" t="s">
        <v>341</v>
      </c>
      <c r="E14" s="48" t="s">
        <v>341</v>
      </c>
      <c r="F14" s="48" t="s">
        <v>341</v>
      </c>
    </row>
    <row r="15" spans="2:13" x14ac:dyDescent="0.3">
      <c r="B15" s="45" t="s">
        <v>342</v>
      </c>
      <c r="C15" s="49">
        <v>44561</v>
      </c>
      <c r="D15" s="49">
        <v>44926</v>
      </c>
      <c r="E15" s="49">
        <v>45291</v>
      </c>
      <c r="F15" s="49">
        <v>45657</v>
      </c>
    </row>
    <row r="16" spans="2:13" x14ac:dyDescent="0.3">
      <c r="B16" s="45" t="s">
        <v>343</v>
      </c>
      <c r="C16" s="49">
        <v>45350</v>
      </c>
      <c r="D16" s="49">
        <v>45716</v>
      </c>
      <c r="E16" s="49">
        <v>45716</v>
      </c>
      <c r="F16" s="49">
        <v>45716</v>
      </c>
    </row>
    <row r="17" spans="2:7" x14ac:dyDescent="0.3">
      <c r="B17" s="45" t="s">
        <v>344</v>
      </c>
      <c r="C17" s="48" t="s">
        <v>345</v>
      </c>
      <c r="D17" s="48" t="s">
        <v>345</v>
      </c>
      <c r="E17" s="48" t="s">
        <v>345</v>
      </c>
      <c r="F17" s="48" t="s">
        <v>345</v>
      </c>
    </row>
    <row r="18" spans="2:7" x14ac:dyDescent="0.3">
      <c r="B18" s="45" t="s">
        <v>340</v>
      </c>
      <c r="C18" s="48"/>
      <c r="D18" s="48"/>
      <c r="E18" s="48"/>
      <c r="F18" s="48"/>
    </row>
    <row r="19" spans="2:7" x14ac:dyDescent="0.3">
      <c r="B19" s="44" t="s">
        <v>492</v>
      </c>
      <c r="C19" s="48"/>
      <c r="D19" s="48"/>
      <c r="E19" s="48"/>
      <c r="F19" s="48"/>
    </row>
    <row r="20" spans="2:7" x14ac:dyDescent="0.3">
      <c r="B20" s="45" t="s">
        <v>493</v>
      </c>
      <c r="C20" s="51">
        <v>-75.400000000000006</v>
      </c>
      <c r="D20" s="51">
        <v>-73.400000000000006</v>
      </c>
      <c r="E20" s="51">
        <v>54.800000000000004</v>
      </c>
      <c r="F20" s="51">
        <v>18.100000000000001</v>
      </c>
    </row>
    <row r="21" spans="2:7" x14ac:dyDescent="0.3">
      <c r="B21" s="45" t="s">
        <v>494</v>
      </c>
      <c r="C21" s="51">
        <v>16.600000000000001</v>
      </c>
      <c r="D21" s="51">
        <v>14.6</v>
      </c>
      <c r="E21" s="51">
        <v>18</v>
      </c>
      <c r="F21" s="51">
        <v>19.100000000000001</v>
      </c>
    </row>
    <row r="22" spans="2:7" x14ac:dyDescent="0.3">
      <c r="B22" s="45" t="s">
        <v>495</v>
      </c>
      <c r="C22" s="51">
        <v>23.900000000000002</v>
      </c>
      <c r="D22" s="51">
        <v>30.900000000000002</v>
      </c>
      <c r="E22" s="51">
        <v>60.5</v>
      </c>
      <c r="F22" s="51">
        <v>120</v>
      </c>
    </row>
    <row r="23" spans="2:7" x14ac:dyDescent="0.3">
      <c r="B23" s="45" t="s">
        <v>496</v>
      </c>
      <c r="C23" s="51">
        <v>40.5</v>
      </c>
      <c r="D23" s="51">
        <v>45.5</v>
      </c>
      <c r="E23" s="51">
        <v>78.5</v>
      </c>
      <c r="F23" s="51">
        <v>139.1</v>
      </c>
      <c r="G23" s="93">
        <f>F23/'Income Statement'!F21</f>
        <v>7.9034090909090901E-2</v>
      </c>
    </row>
    <row r="24" spans="2:7" x14ac:dyDescent="0.3">
      <c r="B24" s="45" t="s">
        <v>497</v>
      </c>
      <c r="C24" s="51">
        <v>53.9</v>
      </c>
      <c r="D24" s="51">
        <v>48.1</v>
      </c>
      <c r="E24" s="51">
        <v>58.4</v>
      </c>
      <c r="F24" s="51">
        <v>74.900000000000006</v>
      </c>
    </row>
    <row r="25" spans="2:7" x14ac:dyDescent="0.3">
      <c r="B25" s="45" t="s">
        <v>498</v>
      </c>
      <c r="C25" s="51">
        <v>-19.100000000000001</v>
      </c>
      <c r="D25" s="48" t="s">
        <v>355</v>
      </c>
      <c r="E25" s="48" t="s">
        <v>355</v>
      </c>
      <c r="F25" s="48" t="s">
        <v>355</v>
      </c>
    </row>
    <row r="26" spans="2:7" x14ac:dyDescent="0.3">
      <c r="B26" s="45" t="s">
        <v>499</v>
      </c>
      <c r="C26" s="51">
        <v>2.9</v>
      </c>
      <c r="D26" s="48" t="s">
        <v>355</v>
      </c>
      <c r="E26" s="48" t="s">
        <v>355</v>
      </c>
      <c r="F26" s="48" t="s">
        <v>355</v>
      </c>
    </row>
    <row r="27" spans="2:7" x14ac:dyDescent="0.3">
      <c r="B27" s="45" t="s">
        <v>500</v>
      </c>
      <c r="C27" s="51">
        <v>113.4</v>
      </c>
      <c r="D27" s="51">
        <v>144.80000000000001</v>
      </c>
      <c r="E27" s="51">
        <v>136.70000000000002</v>
      </c>
      <c r="F27" s="51">
        <v>155.5</v>
      </c>
    </row>
    <row r="28" spans="2:7" x14ac:dyDescent="0.3">
      <c r="B28" s="45" t="s">
        <v>501</v>
      </c>
      <c r="C28" s="51">
        <v>1.8</v>
      </c>
      <c r="D28" s="51">
        <v>2.2000000000000002</v>
      </c>
      <c r="E28" s="51">
        <v>5.4</v>
      </c>
      <c r="F28" s="51">
        <v>10.1</v>
      </c>
    </row>
    <row r="29" spans="2:7" x14ac:dyDescent="0.3">
      <c r="B29" s="45" t="s">
        <v>502</v>
      </c>
      <c r="C29" s="51">
        <v>-28.2</v>
      </c>
      <c r="D29" s="51">
        <v>7.5</v>
      </c>
      <c r="E29" s="51">
        <v>10.5</v>
      </c>
      <c r="F29" s="51">
        <v>-10.6</v>
      </c>
    </row>
    <row r="30" spans="2:7" x14ac:dyDescent="0.3">
      <c r="B30" s="45" t="s">
        <v>503</v>
      </c>
      <c r="C30" s="51">
        <v>-34.800000000000004</v>
      </c>
      <c r="D30" s="51">
        <v>-39.5</v>
      </c>
      <c r="E30" s="51">
        <v>-48.300000000000004</v>
      </c>
      <c r="F30" s="51">
        <v>-48</v>
      </c>
    </row>
    <row r="31" spans="2:7" x14ac:dyDescent="0.3">
      <c r="B31" s="45" t="s">
        <v>504</v>
      </c>
      <c r="C31" s="51">
        <v>9.3000000000000007</v>
      </c>
      <c r="D31" s="51">
        <v>-0.2</v>
      </c>
      <c r="E31" s="51">
        <v>9.3000000000000007</v>
      </c>
      <c r="F31" s="51">
        <v>15.700000000000001</v>
      </c>
    </row>
    <row r="32" spans="2:7" x14ac:dyDescent="0.3">
      <c r="B32" s="45" t="s">
        <v>505</v>
      </c>
      <c r="C32" s="51">
        <v>5.5</v>
      </c>
      <c r="D32" s="51">
        <v>-5.6000000000000005</v>
      </c>
      <c r="E32" s="51">
        <v>-1.3</v>
      </c>
      <c r="F32" s="51">
        <v>-4.4000000000000004</v>
      </c>
    </row>
    <row r="33" spans="2:6" x14ac:dyDescent="0.3">
      <c r="B33" s="45" t="s">
        <v>506</v>
      </c>
      <c r="C33" s="51">
        <v>0.4</v>
      </c>
      <c r="D33" s="51">
        <v>7.5</v>
      </c>
      <c r="E33" s="51">
        <v>-4.7</v>
      </c>
      <c r="F33" s="51">
        <v>-3.6</v>
      </c>
    </row>
    <row r="34" spans="2:6" x14ac:dyDescent="0.3">
      <c r="B34" s="45" t="s">
        <v>507</v>
      </c>
      <c r="C34" s="51">
        <v>-21.400000000000002</v>
      </c>
      <c r="D34" s="51">
        <v>-4.3</v>
      </c>
      <c r="E34" s="51">
        <v>-79.8</v>
      </c>
      <c r="F34" s="51">
        <v>-65.7</v>
      </c>
    </row>
    <row r="35" spans="2:6" x14ac:dyDescent="0.3">
      <c r="B35" s="45" t="s">
        <v>508</v>
      </c>
      <c r="C35" s="51">
        <v>48.800000000000004</v>
      </c>
      <c r="D35" s="51">
        <v>132.6</v>
      </c>
      <c r="E35" s="51">
        <v>219.5</v>
      </c>
      <c r="F35" s="51">
        <v>281.10000000000002</v>
      </c>
    </row>
    <row r="36" spans="2:6" x14ac:dyDescent="0.3">
      <c r="B36" s="44" t="s">
        <v>509</v>
      </c>
      <c r="C36" s="48"/>
      <c r="D36" s="48"/>
      <c r="E36" s="48"/>
      <c r="F36" s="48"/>
    </row>
    <row r="37" spans="2:6" x14ac:dyDescent="0.3">
      <c r="B37" s="45" t="s">
        <v>473</v>
      </c>
      <c r="C37" s="51">
        <v>-11.5</v>
      </c>
      <c r="D37" s="51">
        <v>-20.2</v>
      </c>
      <c r="E37" s="51">
        <v>-19</v>
      </c>
      <c r="F37" s="51">
        <v>-14.3</v>
      </c>
    </row>
    <row r="38" spans="2:6" x14ac:dyDescent="0.3">
      <c r="B38" s="45" t="s">
        <v>510</v>
      </c>
      <c r="C38" s="51">
        <v>37.9</v>
      </c>
      <c r="D38" s="48" t="s">
        <v>355</v>
      </c>
      <c r="E38" s="48" t="s">
        <v>355</v>
      </c>
      <c r="F38" s="48" t="s">
        <v>355</v>
      </c>
    </row>
    <row r="39" spans="2:6" x14ac:dyDescent="0.3">
      <c r="B39" s="45" t="s">
        <v>511</v>
      </c>
      <c r="C39" s="51">
        <v>-409.5</v>
      </c>
      <c r="D39" s="48" t="s">
        <v>355</v>
      </c>
      <c r="E39" s="48" t="s">
        <v>355</v>
      </c>
      <c r="F39" s="51">
        <v>-173.1</v>
      </c>
    </row>
    <row r="40" spans="2:6" x14ac:dyDescent="0.3">
      <c r="B40" s="45" t="s">
        <v>512</v>
      </c>
      <c r="C40" s="51">
        <v>-52.2</v>
      </c>
      <c r="D40" s="51">
        <v>-74.3</v>
      </c>
      <c r="E40" s="51">
        <v>-95.4</v>
      </c>
      <c r="F40" s="51">
        <v>-95.3</v>
      </c>
    </row>
    <row r="41" spans="2:6" x14ac:dyDescent="0.3">
      <c r="B41" s="45" t="s">
        <v>513</v>
      </c>
      <c r="C41" s="51">
        <v>-275.8</v>
      </c>
      <c r="D41" s="51">
        <v>-248</v>
      </c>
      <c r="E41" s="51">
        <v>-87.4</v>
      </c>
      <c r="F41" s="51">
        <v>-189.20000000000002</v>
      </c>
    </row>
    <row r="42" spans="2:6" x14ac:dyDescent="0.3">
      <c r="B42" s="45" t="s">
        <v>514</v>
      </c>
      <c r="C42" s="48" t="s">
        <v>355</v>
      </c>
      <c r="D42" s="48" t="s">
        <v>355</v>
      </c>
      <c r="E42" s="51">
        <v>-1</v>
      </c>
      <c r="F42" s="48" t="s">
        <v>355</v>
      </c>
    </row>
    <row r="43" spans="2:6" x14ac:dyDescent="0.3">
      <c r="B43" s="45" t="s">
        <v>515</v>
      </c>
      <c r="C43" s="51">
        <v>-711.1</v>
      </c>
      <c r="D43" s="51">
        <v>-342.5</v>
      </c>
      <c r="E43" s="51">
        <v>-202.8</v>
      </c>
      <c r="F43" s="51">
        <v>-471.90000000000003</v>
      </c>
    </row>
    <row r="44" spans="2:6" x14ac:dyDescent="0.3">
      <c r="B44" s="44" t="s">
        <v>516</v>
      </c>
      <c r="C44" s="48"/>
      <c r="D44" s="48"/>
      <c r="E44" s="48"/>
      <c r="F44" s="48"/>
    </row>
    <row r="45" spans="2:6" x14ac:dyDescent="0.3">
      <c r="B45" s="45" t="s">
        <v>517</v>
      </c>
      <c r="C45" s="51">
        <v>295</v>
      </c>
      <c r="D45" s="48" t="s">
        <v>355</v>
      </c>
      <c r="E45" s="48" t="s">
        <v>355</v>
      </c>
      <c r="F45" s="48" t="s">
        <v>355</v>
      </c>
    </row>
    <row r="46" spans="2:6" x14ac:dyDescent="0.3">
      <c r="B46" s="45" t="s">
        <v>518</v>
      </c>
      <c r="C46" s="51">
        <v>561.80000000000007</v>
      </c>
      <c r="D46" s="48" t="s">
        <v>355</v>
      </c>
      <c r="E46" s="48" t="s">
        <v>355</v>
      </c>
      <c r="F46" s="51">
        <v>650</v>
      </c>
    </row>
    <row r="47" spans="2:6" x14ac:dyDescent="0.3">
      <c r="B47" s="45" t="s">
        <v>519</v>
      </c>
      <c r="C47" s="51">
        <v>856.80000000000007</v>
      </c>
      <c r="D47" s="48" t="s">
        <v>355</v>
      </c>
      <c r="E47" s="48" t="s">
        <v>355</v>
      </c>
      <c r="F47" s="51">
        <v>650</v>
      </c>
    </row>
    <row r="48" spans="2:6" x14ac:dyDescent="0.3">
      <c r="B48" s="45" t="s">
        <v>520</v>
      </c>
      <c r="C48" s="51">
        <v>-295</v>
      </c>
      <c r="D48" s="48" t="s">
        <v>355</v>
      </c>
      <c r="E48" s="48" t="s">
        <v>355</v>
      </c>
      <c r="F48" s="48" t="s">
        <v>355</v>
      </c>
    </row>
    <row r="49" spans="2:6" x14ac:dyDescent="0.3">
      <c r="B49" s="45" t="s">
        <v>521</v>
      </c>
      <c r="C49" s="51">
        <v>-7.8</v>
      </c>
      <c r="D49" s="51">
        <v>-8.4</v>
      </c>
      <c r="E49" s="51">
        <v>-7.9</v>
      </c>
      <c r="F49" s="51">
        <v>-648.30000000000007</v>
      </c>
    </row>
    <row r="50" spans="2:6" x14ac:dyDescent="0.3">
      <c r="B50" s="45" t="s">
        <v>522</v>
      </c>
      <c r="C50" s="51">
        <v>-302.8</v>
      </c>
      <c r="D50" s="51">
        <v>-8.4</v>
      </c>
      <c r="E50" s="51">
        <v>-7.9</v>
      </c>
      <c r="F50" s="51">
        <v>-648.30000000000007</v>
      </c>
    </row>
    <row r="51" spans="2:6" x14ac:dyDescent="0.3">
      <c r="B51" s="45" t="s">
        <v>523</v>
      </c>
      <c r="C51" s="51">
        <v>95.4</v>
      </c>
      <c r="D51" s="51">
        <v>38.4</v>
      </c>
      <c r="E51" s="51">
        <v>49</v>
      </c>
      <c r="F51" s="51">
        <v>56.6</v>
      </c>
    </row>
    <row r="52" spans="2:6" x14ac:dyDescent="0.3">
      <c r="B52" s="45" t="s">
        <v>524</v>
      </c>
      <c r="C52" s="48" t="s">
        <v>355</v>
      </c>
      <c r="D52" s="48" t="s">
        <v>355</v>
      </c>
      <c r="E52" s="48" t="s">
        <v>355</v>
      </c>
      <c r="F52" s="51">
        <v>-36.1</v>
      </c>
    </row>
    <row r="53" spans="2:6" x14ac:dyDescent="0.3">
      <c r="B53" s="45" t="s">
        <v>525</v>
      </c>
      <c r="C53" s="51">
        <v>-157.5</v>
      </c>
      <c r="D53" s="51">
        <v>734.6</v>
      </c>
      <c r="E53" s="51">
        <v>200.9</v>
      </c>
      <c r="F53" s="51">
        <v>37.4</v>
      </c>
    </row>
    <row r="54" spans="2:6" x14ac:dyDescent="0.3">
      <c r="B54" s="45" t="s">
        <v>526</v>
      </c>
      <c r="C54" s="51">
        <v>491.90000000000003</v>
      </c>
      <c r="D54" s="51">
        <v>764.6</v>
      </c>
      <c r="E54" s="51">
        <v>242</v>
      </c>
      <c r="F54" s="51">
        <v>59.6</v>
      </c>
    </row>
    <row r="55" spans="2:6" x14ac:dyDescent="0.3">
      <c r="B55" s="44" t="s">
        <v>527</v>
      </c>
      <c r="C55" s="48"/>
      <c r="D55" s="48"/>
      <c r="E55" s="48"/>
      <c r="F55" s="48"/>
    </row>
    <row r="56" spans="2:6" x14ac:dyDescent="0.3">
      <c r="B56" s="45" t="s">
        <v>472</v>
      </c>
      <c r="C56" s="51">
        <v>-21.3</v>
      </c>
      <c r="D56" s="51">
        <v>-46.800000000000004</v>
      </c>
      <c r="E56" s="51">
        <v>11.5</v>
      </c>
      <c r="F56" s="51">
        <v>-36.300000000000004</v>
      </c>
    </row>
    <row r="57" spans="2:6" x14ac:dyDescent="0.3">
      <c r="B57" s="45" t="s">
        <v>528</v>
      </c>
      <c r="C57" s="51">
        <v>-191.70000000000002</v>
      </c>
      <c r="D57" s="51">
        <v>507.90000000000003</v>
      </c>
      <c r="E57" s="51">
        <v>270.2</v>
      </c>
      <c r="F57" s="51">
        <v>-167.5</v>
      </c>
    </row>
    <row r="58" spans="2:6" x14ac:dyDescent="0.3">
      <c r="B58" s="44" t="s">
        <v>529</v>
      </c>
      <c r="C58" s="48"/>
      <c r="D58" s="48"/>
      <c r="E58" s="48"/>
      <c r="F58" s="48"/>
    </row>
    <row r="59" spans="2:6" x14ac:dyDescent="0.3">
      <c r="B59" s="45" t="s">
        <v>530</v>
      </c>
      <c r="C59" s="51">
        <v>19.100000000000001</v>
      </c>
      <c r="D59" s="51">
        <v>30.1</v>
      </c>
      <c r="E59" s="51">
        <v>52.4</v>
      </c>
      <c r="F59" s="51">
        <v>45.300000000000004</v>
      </c>
    </row>
    <row r="60" spans="2:6" x14ac:dyDescent="0.3">
      <c r="B60" s="45" t="s">
        <v>531</v>
      </c>
      <c r="C60" s="51">
        <v>30.1</v>
      </c>
      <c r="D60" s="51">
        <v>9.6</v>
      </c>
      <c r="E60" s="51">
        <v>42.4</v>
      </c>
      <c r="F60" s="51">
        <v>55.6</v>
      </c>
    </row>
    <row r="61" spans="2:6" x14ac:dyDescent="0.3">
      <c r="B61" s="45" t="s">
        <v>475</v>
      </c>
      <c r="C61" s="51">
        <v>114.625</v>
      </c>
      <c r="D61" s="51">
        <v>213.73750000000001</v>
      </c>
      <c r="E61" s="51">
        <v>102.4375</v>
      </c>
      <c r="F61" s="51">
        <v>260.375</v>
      </c>
    </row>
    <row r="62" spans="2:6" x14ac:dyDescent="0.3">
      <c r="B62" s="45" t="s">
        <v>450</v>
      </c>
      <c r="C62" s="51">
        <v>120.16250000000001</v>
      </c>
      <c r="D62" s="51">
        <v>227.01250000000002</v>
      </c>
      <c r="E62" s="51">
        <v>120.60000000000001</v>
      </c>
      <c r="F62" s="51">
        <v>281.55</v>
      </c>
    </row>
    <row r="63" spans="2:6" x14ac:dyDescent="0.3">
      <c r="B63" s="45" t="s">
        <v>474</v>
      </c>
      <c r="C63" s="51">
        <v>-33.9</v>
      </c>
      <c r="D63" s="51">
        <v>-107.9</v>
      </c>
      <c r="E63" s="51">
        <v>118.2</v>
      </c>
      <c r="F63" s="51">
        <v>37.4</v>
      </c>
    </row>
    <row r="64" spans="2:6" x14ac:dyDescent="0.3">
      <c r="B64" s="45" t="s">
        <v>532</v>
      </c>
      <c r="C64" s="51">
        <v>554</v>
      </c>
      <c r="D64" s="51">
        <v>-8.4</v>
      </c>
      <c r="E64" s="51">
        <v>-7.9</v>
      </c>
      <c r="F64" s="51">
        <v>1.7</v>
      </c>
    </row>
    <row r="65" spans="2:6" x14ac:dyDescent="0.3">
      <c r="B65" s="45" t="s">
        <v>394</v>
      </c>
      <c r="C65" s="48" t="s">
        <v>421</v>
      </c>
      <c r="D65" s="48" t="s">
        <v>421</v>
      </c>
      <c r="E65" s="48" t="s">
        <v>420</v>
      </c>
      <c r="F65" s="48" t="s">
        <v>395</v>
      </c>
    </row>
    <row r="66" spans="2:6" x14ac:dyDescent="0.3">
      <c r="B66" s="45" t="s">
        <v>396</v>
      </c>
      <c r="C66" s="48" t="s">
        <v>397</v>
      </c>
      <c r="D66" s="48" t="s">
        <v>397</v>
      </c>
      <c r="E66" s="48" t="s">
        <v>397</v>
      </c>
      <c r="F66" s="48" t="s">
        <v>397</v>
      </c>
    </row>
    <row r="67" spans="2:6" x14ac:dyDescent="0.3">
      <c r="B67" s="46"/>
    </row>
  </sheetData>
  <mergeCells count="3">
    <mergeCell ref="B1:E1"/>
    <mergeCell ref="B12:F12"/>
    <mergeCell ref="B2:M2"/>
  </mergeCells>
  <pageMargins left="0.7" right="0.7" top="0.75" bottom="0.75" header="0.3" footer="0.3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212483-7e4d-42ca-ad5c-1688cdeef90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1D03A68FFCFF4F989F255479B2B31E" ma:contentTypeVersion="14" ma:contentTypeDescription="Create a new document." ma:contentTypeScope="" ma:versionID="b30a6ca6a7009756574d96ac181fde1b">
  <xsd:schema xmlns:xsd="http://www.w3.org/2001/XMLSchema" xmlns:xs="http://www.w3.org/2001/XMLSchema" xmlns:p="http://schemas.microsoft.com/office/2006/metadata/properties" xmlns:ns3="bf212483-7e4d-42ca-ad5c-1688cdeef90c" xmlns:ns4="716b881e-f8ee-45f1-986d-02167b2c60d1" targetNamespace="http://schemas.microsoft.com/office/2006/metadata/properties" ma:root="true" ma:fieldsID="d014ac23ef541f4013be6d412b31ede7" ns3:_="" ns4:_="">
    <xsd:import namespace="bf212483-7e4d-42ca-ad5c-1688cdeef90c"/>
    <xsd:import namespace="716b881e-f8ee-45f1-986d-02167b2c60d1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212483-7e4d-42ca-ad5c-1688cdeef90c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6b881e-f8ee-45f1-986d-02167b2c60d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0BF77F-058D-4694-9C1B-52ED0B4652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29B353-91B5-47D2-B881-DDC9B80CB9DA}">
  <ds:schemaRefs>
    <ds:schemaRef ds:uri="http://schemas.microsoft.com/office/2006/metadata/properties"/>
    <ds:schemaRef ds:uri="http://schemas.microsoft.com/office/infopath/2007/PartnerControls"/>
    <ds:schemaRef ds:uri="bf212483-7e4d-42ca-ad5c-1688cdeef90c"/>
  </ds:schemaRefs>
</ds:datastoreItem>
</file>

<file path=customXml/itemProps3.xml><?xml version="1.0" encoding="utf-8"?>
<ds:datastoreItem xmlns:ds="http://schemas.openxmlformats.org/officeDocument/2006/customXml" ds:itemID="{776393BE-5735-4363-9172-D842E13BDC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212483-7e4d-42ca-ad5c-1688cdeef90c"/>
    <ds:schemaRef ds:uri="716b881e-f8ee-45f1-986d-02167b2c60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567eafd-e777-42a5-91bb-9440fd43b893}" enabled="0" method="" siteId="{5567eafd-e777-42a5-91bb-9440fd43b89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</vt:lpstr>
      <vt:lpstr>Outputs</vt:lpstr>
      <vt:lpstr>Transaction Details</vt:lpstr>
      <vt:lpstr>Inputs and Drivers</vt:lpstr>
      <vt:lpstr>Model</vt:lpstr>
      <vt:lpstr>Balance Sheet (Q)</vt:lpstr>
      <vt:lpstr>Additional Data</vt:lpstr>
      <vt:lpstr>CapIQ Financial Highlights</vt:lpstr>
      <vt:lpstr>Cash Flow</vt:lpstr>
      <vt:lpstr>Balance Sheet</vt:lpstr>
      <vt:lpstr>Income Statement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Kunarodzhvimute,D (ug)</dc:creator>
  <cp:keywords/>
  <dc:description/>
  <cp:lastModifiedBy>Kumar4,T (ug)</cp:lastModifiedBy>
  <cp:revision/>
  <dcterms:created xsi:type="dcterms:W3CDTF">2025-11-28T17:48:24Z</dcterms:created>
  <dcterms:modified xsi:type="dcterms:W3CDTF">2026-03-10T10:34:03Z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{4FEA80AE-B6C0-49ED-B6B8-E171C5303EE6}</vt:lpwstr>
  </property>
  <property fmtid="{D5CDD505-2E9C-101B-9397-08002B2CF9AE}" pid="3" name="ContentTypeId">
    <vt:lpwstr>0x010100AB1D03A68FFCFF4F989F255479B2B31E</vt:lpwstr>
  </property>
</Properties>
</file>