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secloud-my.sharepoint.com/personal/d_malaj_lse_ac_uk/Documents/PES 26-27/Research 26-27/Finance Fundamentals Lecture Series/Session 1 Materials/01_XLS/"/>
    </mc:Choice>
  </mc:AlternateContent>
  <xr:revisionPtr revIDLastSave="2143" documentId="11_AD4DB114E441178AC67DF4B646D5DAE4693EDF1A" xr6:coauthVersionLast="47" xr6:coauthVersionMax="47" xr10:uidLastSave="{97098F29-0A41-4D48-ABFD-29DCFB7FBE96}"/>
  <bookViews>
    <workbookView xWindow="-108" yWindow="-108" windowWidth="23256" windowHeight="13896" activeTab="2" xr2:uid="{00000000-000D-0000-FFFF-FFFF00000000}"/>
  </bookViews>
  <sheets>
    <sheet name="1. Accounting Equation" sheetId="14" r:id="rId1"/>
    <sheet name="2. EV vs. Equity Value" sheetId="13" r:id="rId2"/>
    <sheet name="3. NPV" sheetId="6" r:id="rId3"/>
    <sheet name="4. Lemon Grove LBO Case Study" sheetId="12" state="hidden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" l="1"/>
  <c r="E32" i="6"/>
  <c r="E31" i="6"/>
  <c r="F11" i="6"/>
  <c r="G11" i="6" s="1"/>
  <c r="H11" i="6" s="1"/>
  <c r="I11" i="6" s="1"/>
  <c r="J11" i="6" s="1"/>
  <c r="E11" i="6"/>
  <c r="G8" i="6"/>
  <c r="H8" i="6"/>
  <c r="I8" i="6"/>
  <c r="J8" i="6"/>
  <c r="F8" i="6"/>
  <c r="I16" i="13"/>
  <c r="I15" i="13"/>
  <c r="I14" i="13"/>
  <c r="I13" i="13"/>
  <c r="I12" i="13"/>
  <c r="I7" i="13"/>
  <c r="I6" i="13"/>
  <c r="I5" i="13"/>
  <c r="I4" i="13"/>
  <c r="D9" i="14"/>
  <c r="D8" i="14"/>
  <c r="H7" i="14"/>
  <c r="H14" i="14"/>
  <c r="F24" i="6"/>
  <c r="G24" i="6" s="1"/>
  <c r="H24" i="6" s="1"/>
  <c r="H17" i="14"/>
  <c r="H11" i="14"/>
  <c r="D14" i="14"/>
  <c r="D82" i="12"/>
  <c r="D76" i="12"/>
  <c r="D75" i="12"/>
  <c r="D74" i="12"/>
  <c r="D73" i="12"/>
  <c r="M78" i="12"/>
  <c r="M77" i="12"/>
  <c r="M75" i="12"/>
  <c r="M74" i="12"/>
  <c r="M73" i="12"/>
  <c r="I79" i="12"/>
  <c r="I78" i="12"/>
  <c r="I77" i="12"/>
  <c r="I76" i="12"/>
  <c r="I75" i="12"/>
  <c r="I74" i="12"/>
  <c r="I73" i="12"/>
  <c r="K56" i="12"/>
  <c r="L56" i="12"/>
  <c r="M56" i="12" s="1"/>
  <c r="N56" i="12" s="1"/>
  <c r="J56" i="12"/>
  <c r="K51" i="12"/>
  <c r="L51" i="12"/>
  <c r="M51" i="12"/>
  <c r="N51" i="12"/>
  <c r="K52" i="12"/>
  <c r="L52" i="12"/>
  <c r="M52" i="12"/>
  <c r="M55" i="12" s="1"/>
  <c r="N52" i="12"/>
  <c r="N55" i="12" s="1"/>
  <c r="K53" i="12"/>
  <c r="L53" i="12"/>
  <c r="M53" i="12"/>
  <c r="N53" i="12"/>
  <c r="K54" i="12"/>
  <c r="L54" i="12"/>
  <c r="M54" i="12"/>
  <c r="N54" i="12"/>
  <c r="K55" i="12"/>
  <c r="L55" i="12"/>
  <c r="J55" i="12"/>
  <c r="J54" i="12"/>
  <c r="K39" i="12"/>
  <c r="L39" i="12"/>
  <c r="M39" i="12"/>
  <c r="N39" i="12"/>
  <c r="J39" i="12"/>
  <c r="L64" i="12"/>
  <c r="L65" i="12" s="1"/>
  <c r="M64" i="12"/>
  <c r="M65" i="12" s="1"/>
  <c r="N64" i="12"/>
  <c r="N65" i="12" s="1"/>
  <c r="K65" i="12"/>
  <c r="K64" i="12"/>
  <c r="L63" i="12"/>
  <c r="M63" i="12"/>
  <c r="N63" i="12" s="1"/>
  <c r="K63" i="12"/>
  <c r="J65" i="12"/>
  <c r="J64" i="12"/>
  <c r="J63" i="12"/>
  <c r="K61" i="12"/>
  <c r="L61" i="12"/>
  <c r="M61" i="12"/>
  <c r="N61" i="12"/>
  <c r="J61" i="12"/>
  <c r="K60" i="12"/>
  <c r="L60" i="12"/>
  <c r="M60" i="12"/>
  <c r="N60" i="12"/>
  <c r="J60" i="12"/>
  <c r="J53" i="12"/>
  <c r="J52" i="12"/>
  <c r="E43" i="12"/>
  <c r="J34" i="12"/>
  <c r="J31" i="12"/>
  <c r="J37" i="12" s="1"/>
  <c r="I31" i="12"/>
  <c r="J28" i="12"/>
  <c r="K28" i="12" s="1"/>
  <c r="I8" i="12"/>
  <c r="H7" i="12"/>
  <c r="I7" i="12" s="1"/>
  <c r="M8" i="12"/>
  <c r="D15" i="12"/>
  <c r="D12" i="12"/>
  <c r="D16" i="12" s="1"/>
  <c r="M7" i="12" s="1"/>
  <c r="M9" i="12" s="1"/>
  <c r="H10" i="12" s="1"/>
  <c r="H20" i="14" l="1"/>
  <c r="J41" i="12"/>
  <c r="J43" i="12" s="1"/>
  <c r="J44" i="12" s="1"/>
  <c r="J51" i="12" s="1"/>
  <c r="H9" i="12"/>
  <c r="I9" i="12" s="1"/>
  <c r="I10" i="12"/>
  <c r="L28" i="12"/>
  <c r="K34" i="12"/>
  <c r="K31" i="12"/>
  <c r="K37" i="12" s="1"/>
  <c r="K41" i="12" s="1"/>
  <c r="K43" i="12" s="1"/>
  <c r="K44" i="12" l="1"/>
  <c r="M28" i="12"/>
  <c r="L31" i="12"/>
  <c r="L34" i="12"/>
  <c r="L37" i="12" l="1"/>
  <c r="L41" i="12" s="1"/>
  <c r="N28" i="12"/>
  <c r="M34" i="12"/>
  <c r="M31" i="12"/>
  <c r="M37" i="12" l="1"/>
  <c r="M41" i="12" s="1"/>
  <c r="N34" i="12"/>
  <c r="N31" i="12"/>
  <c r="L43" i="12"/>
  <c r="L44" i="12" s="1"/>
  <c r="N37" i="12" l="1"/>
  <c r="N41" i="12" s="1"/>
  <c r="M43" i="12"/>
  <c r="M44" i="12" s="1"/>
  <c r="N43" i="12" l="1"/>
  <c r="N44" i="12" s="1"/>
  <c r="J49" i="12" l="1"/>
  <c r="K49" i="12" s="1"/>
  <c r="L49" i="12" s="1"/>
  <c r="M49" i="12" s="1"/>
  <c r="N49" i="12" s="1"/>
  <c r="J26" i="12"/>
  <c r="K26" i="12" s="1"/>
  <c r="L26" i="12" s="1"/>
  <c r="M26" i="12" s="1"/>
  <c r="N2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Tejjas Kumar</author>
  </authors>
  <commentList>
    <comment ref="E52" authorId="0" shapeId="0" xr:uid="{4C99898D-220C-4DC7-81FD-ECDCBE47957C}">
      <text>
        <r>
          <rPr>
            <b/>
            <sz val="9"/>
            <color indexed="81"/>
            <rFont val="Tahoma"/>
            <family val="2"/>
          </rPr>
          <t>Tejjas Kumar:</t>
        </r>
        <r>
          <rPr>
            <sz val="9"/>
            <color indexed="81"/>
            <rFont val="Tahoma"/>
            <family val="2"/>
          </rPr>
          <t xml:space="preserve">
There are two (main) methods
</t>
        </r>
      </text>
    </comment>
  </commentList>
</comments>
</file>

<file path=xl/sharedStrings.xml><?xml version="1.0" encoding="utf-8"?>
<sst xmlns="http://schemas.openxmlformats.org/spreadsheetml/2006/main" count="280" uniqueCount="110">
  <si>
    <t>Purchase Price</t>
  </si>
  <si>
    <t>Entry EV/EBITDA</t>
  </si>
  <si>
    <t>Exit EV/EBITDA</t>
  </si>
  <si>
    <t>LTM EBITDA</t>
  </si>
  <si>
    <t>Enterprise and Equity Offer Value</t>
  </si>
  <si>
    <t>Net Debt</t>
  </si>
  <si>
    <t>Implied Equity Offer Value</t>
  </si>
  <si>
    <t>Debt</t>
  </si>
  <si>
    <t>Amount</t>
  </si>
  <si>
    <t>Multiple</t>
  </si>
  <si>
    <t>Equity Offer Value</t>
  </si>
  <si>
    <t>Operating Assumptions</t>
  </si>
  <si>
    <t>Income Statement</t>
  </si>
  <si>
    <t>Revenue Growth Rate</t>
  </si>
  <si>
    <t>EBITDA Margin</t>
  </si>
  <si>
    <t>D&amp;A Margin</t>
  </si>
  <si>
    <t>Interest Rate</t>
  </si>
  <si>
    <t>CapEx Margin</t>
  </si>
  <si>
    <t>All values GBP millions unless stated</t>
  </si>
  <si>
    <t>Revenue</t>
  </si>
  <si>
    <t>EBITDA</t>
  </si>
  <si>
    <t>Margin (%)</t>
  </si>
  <si>
    <t>D&amp;A</t>
  </si>
  <si>
    <t>Tax Rate</t>
  </si>
  <si>
    <t>EBIT</t>
  </si>
  <si>
    <t>Returns</t>
  </si>
  <si>
    <t>IRR</t>
  </si>
  <si>
    <t>MOIC</t>
  </si>
  <si>
    <t>Taxes</t>
  </si>
  <si>
    <t>EBT</t>
  </si>
  <si>
    <t>Net Income</t>
  </si>
  <si>
    <t>NWC (% of Sales)</t>
  </si>
  <si>
    <t>NWC</t>
  </si>
  <si>
    <t>CapEx</t>
  </si>
  <si>
    <t>Cash Flows</t>
  </si>
  <si>
    <t>Cumulative LFCF</t>
  </si>
  <si>
    <t>Cash From NWC</t>
  </si>
  <si>
    <t>Supporting Schedules</t>
  </si>
  <si>
    <t>Levered Free Cash Flow</t>
  </si>
  <si>
    <t>Interest Expenses</t>
  </si>
  <si>
    <t>Return Calculations and Analysis</t>
  </si>
  <si>
    <t>EBITDA Growth</t>
  </si>
  <si>
    <t>Multiple Expansion</t>
  </si>
  <si>
    <t>Debt Paydown</t>
  </si>
  <si>
    <t>Exit Calculations</t>
  </si>
  <si>
    <t>Final Year EBITDA</t>
  </si>
  <si>
    <t>Exit Equity Value</t>
  </si>
  <si>
    <t>Years</t>
  </si>
  <si>
    <t xml:space="preserve"> </t>
  </si>
  <si>
    <t>Share price</t>
  </si>
  <si>
    <t>Number of shares outstanding</t>
  </si>
  <si>
    <t>Short term debt</t>
  </si>
  <si>
    <t>Long term debt</t>
  </si>
  <si>
    <t>Cash</t>
  </si>
  <si>
    <t>Q1. Using the information below, calculate Kastali Inc's enterprise value.</t>
  </si>
  <si>
    <t>Enterprise value</t>
  </si>
  <si>
    <t>Q2. Using the information below, calculate a share price for Rompy Ltd.</t>
  </si>
  <si>
    <t>Lease liabilities</t>
  </si>
  <si>
    <t>Short term investments</t>
  </si>
  <si>
    <t>LBO Case Study - Lemon Grove Ltd</t>
  </si>
  <si>
    <t>Sources of Cash</t>
  </si>
  <si>
    <t>Uses of Cash</t>
  </si>
  <si>
    <t>Growth Rate (%)</t>
  </si>
  <si>
    <t>?</t>
  </si>
  <si>
    <t>Return Calculations</t>
  </si>
  <si>
    <t>Return Attribution Analysis</t>
  </si>
  <si>
    <t>Sponsor Equity</t>
  </si>
  <si>
    <t>Total</t>
  </si>
  <si>
    <t>Implied Enterprise Value</t>
  </si>
  <si>
    <t>Cash &amp; Equivalents</t>
  </si>
  <si>
    <t>Interest Rate on Debt</t>
  </si>
  <si>
    <t>Entry Equity Investment</t>
  </si>
  <si>
    <t>Target Cash</t>
  </si>
  <si>
    <t>Cash from NWC</t>
  </si>
  <si>
    <t>Inventory</t>
  </si>
  <si>
    <t>Q3. Using Mix-Up's information below, calculate the company's enterprise value.</t>
  </si>
  <si>
    <t>Enterprise Value</t>
  </si>
  <si>
    <t>Refinancing Debt</t>
  </si>
  <si>
    <t>Exit Multiple (EV/EBITDA)</t>
  </si>
  <si>
    <t>Equity Value</t>
  </si>
  <si>
    <t>Bank Account Interest Rate:</t>
  </si>
  <si>
    <t>£100 Today</t>
  </si>
  <si>
    <t>£100 In 5 years</t>
  </si>
  <si>
    <t>Current</t>
  </si>
  <si>
    <t>FV</t>
  </si>
  <si>
    <t>PV of £100 In 5 Years:</t>
  </si>
  <si>
    <t>Accounting Equation - Lemonade Stand</t>
  </si>
  <si>
    <t>Assets</t>
  </si>
  <si>
    <t>Liabilities</t>
  </si>
  <si>
    <t>Equity</t>
  </si>
  <si>
    <t>Lemonade Stand (PP&amp;E)</t>
  </si>
  <si>
    <t>Loan</t>
  </si>
  <si>
    <t>Share Capital</t>
  </si>
  <si>
    <t>Retained Earnings</t>
  </si>
  <si>
    <t>Total Assets</t>
  </si>
  <si>
    <t>Total Liabilities</t>
  </si>
  <si>
    <t>Total Equity</t>
  </si>
  <si>
    <t>Total Liabilities &amp; Equity</t>
  </si>
  <si>
    <t>Q2. NPV Example Question - Which Bonus Is The Most Valuable Today?</t>
  </si>
  <si>
    <t>Bank A</t>
  </si>
  <si>
    <t>Bank B</t>
  </si>
  <si>
    <t>Bank C</t>
  </si>
  <si>
    <t>Discount Rate</t>
  </si>
  <si>
    <t>NPV Bank A</t>
  </si>
  <si>
    <t>NPV Bank B</t>
  </si>
  <si>
    <t>NPV Bank C</t>
  </si>
  <si>
    <t>Q1.Simple NPV Example</t>
  </si>
  <si>
    <t>profit = 120- 50</t>
  </si>
  <si>
    <t>EV</t>
  </si>
  <si>
    <t>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</si>
</sst>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(0.0\x_);\(0.0\x\);&quot;-&quot;"/>
    <numFmt numFmtId="165" formatCode="0.0%"/>
    <numFmt numFmtId="166" formatCode="_(#,##0_);\(#,##0\);&quot;-&quot;"/>
    <numFmt numFmtId="167" formatCode="_(0.0%_);\(0.0%\);&quot;-&quot;"/>
    <numFmt numFmtId="168" formatCode="#,##0.0_);\(#,##0.0\);0.0_);@_)"/>
    <numFmt numFmtId="169" formatCode="&quot;$&quot;#,##0.00_);\(&quot;$&quot;#,##0.00\)"/>
    <numFmt numFmtId="170" formatCode="#,##0.000_);\(#,##0.000\)"/>
    <numFmt numFmtId="171" formatCode="&quot;$&quot;#,##0.0_);\(&quot;$&quot;#,##0.0\)"/>
    <numFmt numFmtId="172" formatCode="#,##0.00_);\(#,##0.00\);0.00_);@_)"/>
    <numFmt numFmtId="173" formatCode="\€#,##0.0_);\(\€#,##0.0\);\€0.0_);@_)"/>
    <numFmt numFmtId="174" formatCode="#,##0_);\(#,##0\);0_);@_)"/>
    <numFmt numFmtId="175" formatCode="\£#,##0.0_);\(\£#,##0.0\);\£0.0_);@_)"/>
    <numFmt numFmtId="176" formatCode="\£#,##0.00_);\(\£#,##0.00\);\£0.00_);@_)"/>
    <numFmt numFmtId="177" formatCode="&quot;Year&quot;\ 0\ "/>
    <numFmt numFmtId="178" formatCode="#,##0.0"/>
    <numFmt numFmtId="179" formatCode="_(0.0%_)"/>
    <numFmt numFmtId="180" formatCode="0.0\x"/>
    <numFmt numFmtId="181" formatCode="\£#,##0_);\(\£#,##0\);\£0_);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F3F76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1"/>
      <color rgb="FF0070C0"/>
      <name val="Calibri"/>
      <family val="2"/>
    </font>
    <font>
      <sz val="14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rgb="FF0070C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b/>
      <sz val="10"/>
      <name val="Calibri"/>
      <family val="2"/>
    </font>
    <font>
      <sz val="14"/>
      <color theme="1"/>
      <name val="Calibri"/>
      <family val="2"/>
    </font>
    <font>
      <sz val="11"/>
      <color theme="8"/>
      <name val="Calibri"/>
      <family val="2"/>
    </font>
    <font>
      <sz val="10"/>
      <color theme="1"/>
      <name val="Calibri"/>
      <family val="2"/>
    </font>
    <font>
      <b/>
      <sz val="11"/>
      <color theme="8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2" borderId="1" applyNumberFormat="0" applyAlignment="0" applyProtection="0"/>
    <xf numFmtId="168" fontId="12" fillId="0" borderId="0"/>
    <xf numFmtId="173" fontId="13" fillId="0" borderId="3"/>
    <xf numFmtId="175" fontId="13" fillId="0" borderId="3"/>
  </cellStyleXfs>
  <cellXfs count="66">
    <xf numFmtId="0" fontId="0" fillId="0" borderId="0" xfId="0"/>
    <xf numFmtId="0" fontId="4" fillId="0" borderId="0" xfId="0" applyFont="1"/>
    <xf numFmtId="0" fontId="6" fillId="3" borderId="0" xfId="0" applyFont="1" applyFill="1"/>
    <xf numFmtId="0" fontId="4" fillId="0" borderId="2" xfId="0" applyFont="1" applyBorder="1"/>
    <xf numFmtId="0" fontId="0" fillId="0" borderId="2" xfId="0" applyBorder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166" fontId="7" fillId="0" borderId="0" xfId="0" applyNumberFormat="1" applyFont="1"/>
    <xf numFmtId="167" fontId="10" fillId="0" borderId="0" xfId="0" applyNumberFormat="1" applyFont="1"/>
    <xf numFmtId="166" fontId="0" fillId="0" borderId="0" xfId="0" applyNumberFormat="1"/>
    <xf numFmtId="166" fontId="4" fillId="0" borderId="0" xfId="0" applyNumberFormat="1" applyFont="1"/>
    <xf numFmtId="166" fontId="4" fillId="0" borderId="2" xfId="0" applyNumberFormat="1" applyFont="1" applyBorder="1"/>
    <xf numFmtId="0" fontId="5" fillId="0" borderId="2" xfId="0" applyFont="1" applyBorder="1"/>
    <xf numFmtId="166" fontId="0" fillId="0" borderId="2" xfId="0" applyNumberFormat="1" applyBorder="1"/>
    <xf numFmtId="0" fontId="4" fillId="0" borderId="4" xfId="0" applyFont="1" applyBorder="1"/>
    <xf numFmtId="0" fontId="0" fillId="0" borderId="5" xfId="0" applyBorder="1"/>
    <xf numFmtId="0" fontId="4" fillId="0" borderId="7" xfId="0" applyFont="1" applyBorder="1"/>
    <xf numFmtId="0" fontId="0" fillId="0" borderId="8" xfId="0" applyBorder="1"/>
    <xf numFmtId="170" fontId="14" fillId="0" borderId="1" xfId="1" applyNumberFormat="1" applyFont="1" applyFill="1"/>
    <xf numFmtId="0" fontId="4" fillId="0" borderId="2" xfId="0" applyFont="1" applyBorder="1" applyAlignment="1">
      <alignment horizontal="right"/>
    </xf>
    <xf numFmtId="0" fontId="16" fillId="3" borderId="0" xfId="0" applyFont="1" applyFill="1"/>
    <xf numFmtId="177" fontId="7" fillId="0" borderId="0" xfId="0" applyNumberFormat="1" applyFont="1"/>
    <xf numFmtId="177" fontId="0" fillId="0" borderId="0" xfId="0" applyNumberFormat="1"/>
    <xf numFmtId="0" fontId="0" fillId="0" borderId="10" xfId="0" applyBorder="1" applyAlignment="1">
      <alignment horizontal="center"/>
    </xf>
    <xf numFmtId="0" fontId="15" fillId="0" borderId="2" xfId="0" applyFont="1" applyBorder="1"/>
    <xf numFmtId="0" fontId="0" fillId="0" borderId="6" xfId="0" applyBorder="1"/>
    <xf numFmtId="0" fontId="0" fillId="0" borderId="9" xfId="0" applyBorder="1"/>
    <xf numFmtId="167" fontId="7" fillId="0" borderId="0" xfId="0" applyNumberFormat="1" applyFont="1"/>
    <xf numFmtId="167" fontId="7" fillId="0" borderId="11" xfId="0" applyNumberFormat="1" applyFont="1" applyBorder="1" applyAlignment="1">
      <alignment horizontal="center"/>
    </xf>
    <xf numFmtId="164" fontId="0" fillId="0" borderId="2" xfId="0" applyNumberFormat="1" applyBorder="1"/>
    <xf numFmtId="0" fontId="7" fillId="0" borderId="0" xfId="0" applyFont="1"/>
    <xf numFmtId="179" fontId="4" fillId="0" borderId="6" xfId="0" applyNumberFormat="1" applyFont="1" applyBorder="1"/>
    <xf numFmtId="180" fontId="4" fillId="0" borderId="9" xfId="0" applyNumberFormat="1" applyFont="1" applyBorder="1"/>
    <xf numFmtId="0" fontId="18" fillId="3" borderId="0" xfId="0" applyFont="1" applyFill="1"/>
    <xf numFmtId="0" fontId="2" fillId="0" borderId="0" xfId="0" applyFont="1"/>
    <xf numFmtId="168" fontId="19" fillId="0" borderId="0" xfId="2" applyFont="1"/>
    <xf numFmtId="169" fontId="20" fillId="0" borderId="3" xfId="1" applyNumberFormat="1" applyFont="1" applyFill="1" applyBorder="1"/>
    <xf numFmtId="170" fontId="20" fillId="0" borderId="3" xfId="1" applyNumberFormat="1" applyFont="1" applyFill="1" applyBorder="1"/>
    <xf numFmtId="178" fontId="2" fillId="0" borderId="0" xfId="0" applyNumberFormat="1" applyFont="1"/>
    <xf numFmtId="171" fontId="20" fillId="0" borderId="3" xfId="1" applyNumberFormat="1" applyFont="1" applyFill="1" applyBorder="1"/>
    <xf numFmtId="178" fontId="17" fillId="0" borderId="2" xfId="0" applyNumberFormat="1" applyFont="1" applyBorder="1"/>
    <xf numFmtId="173" fontId="20" fillId="0" borderId="3" xfId="3" applyFont="1"/>
    <xf numFmtId="174" fontId="20" fillId="0" borderId="3" xfId="3" applyNumberFormat="1" applyFont="1"/>
    <xf numFmtId="173" fontId="21" fillId="0" borderId="2" xfId="3" applyFont="1" applyBorder="1"/>
    <xf numFmtId="0" fontId="22" fillId="0" borderId="0" xfId="0" applyFont="1"/>
    <xf numFmtId="175" fontId="20" fillId="0" borderId="3" xfId="4" applyFont="1"/>
    <xf numFmtId="176" fontId="20" fillId="0" borderId="3" xfId="4" applyNumberFormat="1" applyFont="1"/>
    <xf numFmtId="172" fontId="19" fillId="0" borderId="0" xfId="2" applyNumberFormat="1" applyFont="1"/>
    <xf numFmtId="168" fontId="21" fillId="0" borderId="0" xfId="2" applyFont="1"/>
    <xf numFmtId="165" fontId="23" fillId="0" borderId="0" xfId="0" applyNumberFormat="1" applyFont="1"/>
    <xf numFmtId="0" fontId="17" fillId="0" borderId="0" xfId="0" applyFont="1" applyAlignment="1">
      <alignment horizontal="right"/>
    </xf>
    <xf numFmtId="175" fontId="20" fillId="0" borderId="0" xfId="4" applyFont="1" applyBorder="1"/>
    <xf numFmtId="0" fontId="17" fillId="0" borderId="0" xfId="0" applyFont="1"/>
    <xf numFmtId="175" fontId="24" fillId="0" borderId="0" xfId="4" applyFont="1" applyBorder="1"/>
    <xf numFmtId="175" fontId="19" fillId="0" borderId="0" xfId="4" applyFont="1" applyBorder="1"/>
    <xf numFmtId="0" fontId="17" fillId="0" borderId="8" xfId="0" applyFont="1" applyBorder="1"/>
    <xf numFmtId="0" fontId="2" fillId="0" borderId="8" xfId="0" applyFont="1" applyBorder="1"/>
    <xf numFmtId="0" fontId="2" fillId="0" borderId="2" xfId="0" applyFont="1" applyBorder="1"/>
    <xf numFmtId="0" fontId="17" fillId="0" borderId="2" xfId="0" applyFont="1" applyBorder="1" applyAlignment="1">
      <alignment horizontal="right"/>
    </xf>
    <xf numFmtId="0" fontId="17" fillId="0" borderId="2" xfId="0" applyFont="1" applyBorder="1"/>
    <xf numFmtId="165" fontId="25" fillId="0" borderId="0" xfId="0" applyNumberFormat="1" applyFont="1"/>
    <xf numFmtId="181" fontId="20" fillId="0" borderId="0" xfId="4" applyNumberFormat="1" applyFont="1" applyBorder="1"/>
    <xf numFmtId="0" fontId="1" fillId="0" borderId="0" xfId="0" applyFont="1"/>
    <xf numFmtId="175" fontId="26" fillId="0" borderId="0" xfId="4" applyFont="1" applyBorder="1"/>
    <xf numFmtId="168" fontId="21" fillId="0" borderId="12" xfId="2" applyFont="1" applyBorder="1"/>
  </cellXfs>
  <cellStyles count="5">
    <cellStyle name="EURO" xfId="3" xr:uid="{93B89712-0A5C-493D-85E8-8A09B9B8C225}"/>
    <cellStyle name="GBP" xfId="4" xr:uid="{293F5043-A886-440D-A49E-88AF06398991}"/>
    <cellStyle name="Input" xfId="1" builtinId="20"/>
    <cellStyle name="Normal" xfId="0" builtinId="0"/>
    <cellStyle name="Normal 2" xfId="2" xr:uid="{090D4540-FDB3-4982-9E96-6830EB45B5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480060</xdr:colOff>
      <xdr:row>19</xdr:row>
      <xdr:rowOff>173994</xdr:rowOff>
    </xdr:from>
    <xdr:to>
      <xdr:col>17</xdr:col>
      <xdr:colOff>171434</xdr:colOff>
      <xdr:row>34</xdr:row>
      <xdr:rowOff>129540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F78BE7-EDC2-4B65-8A22-83C93ECFE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6340" y="3694434"/>
          <a:ext cx="4834874" cy="270636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9</xdr:col>
      <xdr:colOff>479051</xdr:colOff>
      <xdr:row>3</xdr:row>
      <xdr:rowOff>129540</xdr:rowOff>
    </xdr:from>
    <xdr:to>
      <xdr:col>17</xdr:col>
      <xdr:colOff>160782</xdr:colOff>
      <xdr:row>18</xdr:row>
      <xdr:rowOff>91869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D16619-C4AB-7B8F-5351-E395C28F5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5331" y="723900"/>
          <a:ext cx="4825231" cy="271314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254000</xdr:colOff>
      <xdr:row>1</xdr:row>
      <xdr:rowOff>38017</xdr:rowOff>
    </xdr:from>
    <xdr:to>
      <xdr:col>24</xdr:col>
      <xdr:colOff>605335</xdr:colOff>
      <xdr:row>14</xdr:row>
      <xdr:rowOff>91797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EC80AE-C48F-42F9-A22F-15646AECA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5200" y="220897"/>
          <a:ext cx="5837735" cy="252266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217715</xdr:colOff>
      <xdr:row>17</xdr:row>
      <xdr:rowOff>43542</xdr:rowOff>
    </xdr:from>
    <xdr:to>
      <xdr:col>24</xdr:col>
      <xdr:colOff>528643</xdr:colOff>
      <xdr:row>23</xdr:row>
      <xdr:rowOff>54427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876F69-020A-4C4B-9986-232D23805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18915" y="3243942"/>
          <a:ext cx="5797328" cy="115388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510540</xdr:colOff>
      <xdr:row>4</xdr:row>
      <xdr:rowOff>68580</xdr:rowOff>
    </xdr:from>
    <xdr:to>
      <xdr:col>15</xdr:col>
      <xdr:colOff>461456</xdr:colOff>
      <xdr:row>15</xdr:row>
      <xdr:rowOff>60960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21AACBD-3B05-C015-DB8F-A55B8A4866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847"/>
        <a:stretch>
          <a:fillRect/>
        </a:stretch>
      </xdr:blipFill>
      <xdr:spPr>
        <a:xfrm>
          <a:off x="7490460" y="800100"/>
          <a:ext cx="3517076" cy="200406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9</xdr:col>
      <xdr:colOff>101324</xdr:colOff>
      <xdr:row>22</xdr:row>
      <xdr:rowOff>114300</xdr:rowOff>
    </xdr:from>
    <xdr:to>
      <xdr:col>16</xdr:col>
      <xdr:colOff>8565</xdr:colOff>
      <xdr:row>37</xdr:row>
      <xdr:rowOff>79273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CD0E436-0851-1439-5EA0-C478A0BA2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2104" y="4183380"/>
          <a:ext cx="4822141" cy="272087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188875</xdr:colOff>
      <xdr:row>0</xdr:row>
      <xdr:rowOff>184219</xdr:rowOff>
    </xdr:from>
    <xdr:to>
      <xdr:col>25</xdr:col>
      <xdr:colOff>0</xdr:colOff>
      <xdr:row>27</xdr:row>
      <xdr:rowOff>159098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F38E9ED1-5BE8-4D00-92E3-8A26C97C2773}"/>
            </a:ext>
          </a:extLst>
        </xdr:cNvPr>
        <xdr:cNvSpPr txBox="1"/>
      </xdr:nvSpPr>
      <xdr:spPr>
        <a:xfrm>
          <a:off x="11309051" y="184219"/>
          <a:ext cx="6535147" cy="5133033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You are evaluating the potential leveraged buyout of Lemon Grove Ltd, a non-alcoholic beverages manufacturer with stable demand and predictable operating performance. </a:t>
          </a:r>
        </a:p>
        <a:p>
          <a:endParaRPr lang="en-GB" sz="1400"/>
        </a:p>
        <a:p>
          <a:r>
            <a:rPr lang="en-GB" sz="1400"/>
            <a:t>The company generated £480 million of LTM revenue and £96 million of LTM EBITDA (20% margin).</a:t>
          </a:r>
        </a:p>
        <a:p>
          <a:r>
            <a:rPr lang="en-GB" sz="1400"/>
            <a:t>The proposed acquisition assumes an entry multiple of 9.5x EBITDA. </a:t>
          </a:r>
        </a:p>
        <a:p>
          <a:endParaRPr lang="en-GB" sz="1400"/>
        </a:p>
        <a:p>
          <a:r>
            <a:rPr lang="en-GB" sz="1400"/>
            <a:t>The business currently carries £40 million of cash, £220 million of existing debt, and £48 million of net working capital (equal to 10% of revenue).</a:t>
          </a:r>
        </a:p>
        <a:p>
          <a:endParaRPr lang="en-GB" sz="1400"/>
        </a:p>
        <a:p>
          <a:r>
            <a:rPr lang="en-GB" sz="1400"/>
            <a:t>Assume revenues grow 7% per year, EBITDA margins remain at 20%, D&amp;A is 2.5% of revenue, CapEx is 4% of revenue, and NWC continues to represent 10% of revenue each year. The Corporate</a:t>
          </a:r>
          <a:r>
            <a:rPr lang="en-GB" sz="1400" baseline="0"/>
            <a:t> Tax Rate is 20%</a:t>
          </a:r>
          <a:endParaRPr lang="en-GB" sz="1400"/>
        </a:p>
        <a:p>
          <a:endParaRPr lang="en-GB" sz="1400"/>
        </a:p>
        <a:p>
          <a:r>
            <a:rPr lang="en-GB" sz="1400"/>
            <a:t>The transaction will be funded with £500 million of new term-loan debt at a 9% interest rate, with no amortisation (bullet repayment), and all remaining capital provided by the sponsor as equity.</a:t>
          </a:r>
        </a:p>
        <a:p>
          <a:endParaRPr lang="en-GB" sz="1400"/>
        </a:p>
        <a:p>
          <a:r>
            <a:rPr lang="en-GB" sz="1400"/>
            <a:t>At the end of Year 5, assume the company is sold at an exit multiple of 9.5x EBITDA, the same as at entry, and all outstanding debt is repaid at exit.</a:t>
          </a:r>
        </a:p>
        <a:p>
          <a:endParaRPr lang="en-GB" sz="1400"/>
        </a:p>
        <a:p>
          <a:r>
            <a:rPr lang="en-GB" sz="1400"/>
            <a:t>Using this information, calculate the entry Enterprise Value, the equity contribution, the 5-year forecasts, and determine the sponsor’s MOIC and IRR over the 5-year holding period.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9E75-9719-41DB-A16E-DE31FE82BFE1}">
  <dimension ref="B3:N20"/>
  <sheetViews>
    <sheetView showGridLines="0" topLeftCell="A2" zoomScale="127" zoomScaleNormal="100" workbookViewId="0">
      <selection activeCell="D14" sqref="D14"/>
    </sheetView>
  </sheetViews>
  <sheetFormatPr defaultRowHeight="14.4" x14ac:dyDescent="0.3"/>
  <cols>
    <col min="1" max="1" width="4.77734375" style="35" customWidth="1"/>
    <col min="2" max="2" width="18.77734375" style="35" customWidth="1"/>
    <col min="3" max="6" width="12.77734375" style="35" customWidth="1"/>
    <col min="7" max="7" width="21.33203125" style="35" bestFit="1" customWidth="1"/>
    <col min="8" max="10" width="12.77734375" style="35" customWidth="1"/>
    <col min="11" max="16384" width="8.88671875" style="35"/>
  </cols>
  <sheetData>
    <row r="3" spans="2:14" ht="18" x14ac:dyDescent="0.35">
      <c r="B3" s="34" t="s">
        <v>86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6" spans="2:14" x14ac:dyDescent="0.3">
      <c r="B6" s="58"/>
      <c r="C6" s="58"/>
      <c r="D6" s="59" t="s">
        <v>87</v>
      </c>
      <c r="G6" s="58"/>
      <c r="H6" s="59" t="s">
        <v>88</v>
      </c>
    </row>
    <row r="7" spans="2:14" x14ac:dyDescent="0.3">
      <c r="B7" s="35" t="s">
        <v>74</v>
      </c>
      <c r="D7" s="35">
        <v>0</v>
      </c>
      <c r="G7" s="35" t="s">
        <v>91</v>
      </c>
      <c r="H7" s="35">
        <f>300</f>
        <v>300</v>
      </c>
    </row>
    <row r="8" spans="2:14" x14ac:dyDescent="0.3">
      <c r="B8" s="35" t="s">
        <v>90</v>
      </c>
      <c r="D8" s="35">
        <f>400</f>
        <v>400</v>
      </c>
    </row>
    <row r="9" spans="2:14" x14ac:dyDescent="0.3">
      <c r="B9" s="35" t="s">
        <v>53</v>
      </c>
      <c r="D9" s="35">
        <f>200-50+300-400+120</f>
        <v>170</v>
      </c>
    </row>
    <row r="11" spans="2:14" x14ac:dyDescent="0.3">
      <c r="G11" s="53" t="s">
        <v>95</v>
      </c>
      <c r="H11" s="35">
        <f>SUM(H7:H8)</f>
        <v>300</v>
      </c>
    </row>
    <row r="13" spans="2:14" x14ac:dyDescent="0.3">
      <c r="G13" s="58"/>
      <c r="H13" s="59" t="s">
        <v>89</v>
      </c>
    </row>
    <row r="14" spans="2:14" ht="15" thickBot="1" x14ac:dyDescent="0.35">
      <c r="B14" s="56" t="s">
        <v>94</v>
      </c>
      <c r="C14" s="57"/>
      <c r="D14" s="56">
        <f>SUM(D7:D9)</f>
        <v>570</v>
      </c>
      <c r="G14" s="35" t="s">
        <v>92</v>
      </c>
      <c r="H14" s="35">
        <f>200</f>
        <v>200</v>
      </c>
    </row>
    <row r="15" spans="2:14" x14ac:dyDescent="0.3">
      <c r="G15" s="35" t="s">
        <v>93</v>
      </c>
      <c r="H15" s="35">
        <v>70</v>
      </c>
    </row>
    <row r="17" spans="2:8" x14ac:dyDescent="0.3">
      <c r="G17" s="53" t="s">
        <v>96</v>
      </c>
      <c r="H17" s="35">
        <f>SUM(H14:H15)</f>
        <v>270</v>
      </c>
    </row>
    <row r="20" spans="2:8" ht="15" thickBot="1" x14ac:dyDescent="0.35">
      <c r="B20" s="63" t="s">
        <v>107</v>
      </c>
      <c r="C20" s="53">
        <v>70</v>
      </c>
      <c r="G20" s="56" t="s">
        <v>97</v>
      </c>
      <c r="H20" s="56">
        <f>H17+H11</f>
        <v>570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DDA5-D048-4F9B-81DF-72116AB1B5D9}">
  <dimension ref="B2:P30"/>
  <sheetViews>
    <sheetView showGridLines="0" zoomScale="125" zoomScaleNormal="125" workbookViewId="0">
      <selection activeCell="B1" sqref="B1"/>
    </sheetView>
  </sheetViews>
  <sheetFormatPr defaultRowHeight="14.4" x14ac:dyDescent="0.3"/>
  <cols>
    <col min="1" max="1" width="4.77734375" style="35" customWidth="1"/>
    <col min="2" max="7" width="8.88671875" style="35"/>
    <col min="8" max="8" width="19.6640625" style="35" customWidth="1"/>
    <col min="9" max="16384" width="8.88671875" style="35"/>
  </cols>
  <sheetData>
    <row r="2" spans="2:14" ht="18" x14ac:dyDescent="0.35">
      <c r="B2" s="34" t="s">
        <v>54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4" x14ac:dyDescent="0.3">
      <c r="B3" s="36"/>
      <c r="C3" s="36"/>
      <c r="D3" s="36"/>
      <c r="E3" s="36"/>
      <c r="F3" s="36"/>
    </row>
    <row r="4" spans="2:14" x14ac:dyDescent="0.3">
      <c r="B4" s="36" t="s">
        <v>49</v>
      </c>
      <c r="C4" s="36"/>
      <c r="D4" s="36"/>
      <c r="E4" s="36"/>
      <c r="F4" s="37">
        <v>20</v>
      </c>
      <c r="H4" s="63" t="s">
        <v>79</v>
      </c>
      <c r="I4" s="39">
        <f>F4*F5</f>
        <v>2000</v>
      </c>
    </row>
    <row r="5" spans="2:14" x14ac:dyDescent="0.3">
      <c r="B5" s="36" t="s">
        <v>50</v>
      </c>
      <c r="C5" s="36"/>
      <c r="D5" s="36"/>
      <c r="E5" s="36"/>
      <c r="F5" s="38">
        <v>100</v>
      </c>
      <c r="H5" s="63" t="s">
        <v>53</v>
      </c>
      <c r="I5" s="39">
        <f>F8</f>
        <v>40</v>
      </c>
    </row>
    <row r="6" spans="2:14" x14ac:dyDescent="0.3">
      <c r="B6" s="36" t="s">
        <v>51</v>
      </c>
      <c r="C6" s="36"/>
      <c r="D6" s="36"/>
      <c r="E6" s="36"/>
      <c r="F6" s="40">
        <v>50</v>
      </c>
      <c r="H6" s="63" t="s">
        <v>7</v>
      </c>
      <c r="I6" s="39">
        <f>F7+F6</f>
        <v>550</v>
      </c>
    </row>
    <row r="7" spans="2:14" x14ac:dyDescent="0.3">
      <c r="B7" s="36" t="s">
        <v>52</v>
      </c>
      <c r="C7" s="36"/>
      <c r="D7" s="36"/>
      <c r="E7" s="36"/>
      <c r="F7" s="40">
        <v>500</v>
      </c>
      <c r="H7" s="63" t="s">
        <v>76</v>
      </c>
      <c r="I7" s="41">
        <f>I4-I5+I6</f>
        <v>2510</v>
      </c>
    </row>
    <row r="8" spans="2:14" x14ac:dyDescent="0.3">
      <c r="B8" s="36" t="s">
        <v>53</v>
      </c>
      <c r="C8" s="36"/>
      <c r="D8" s="36"/>
      <c r="E8" s="36"/>
      <c r="F8" s="40">
        <v>40</v>
      </c>
      <c r="I8" s="39"/>
      <c r="L8" s="39"/>
    </row>
    <row r="9" spans="2:14" x14ac:dyDescent="0.3">
      <c r="B9" s="36"/>
      <c r="C9" s="36"/>
      <c r="D9" s="36"/>
      <c r="E9" s="36"/>
      <c r="F9" s="36"/>
    </row>
    <row r="10" spans="2:14" ht="18" x14ac:dyDescent="0.35">
      <c r="B10" s="34" t="s">
        <v>56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2:14" x14ac:dyDescent="0.3">
      <c r="B11" s="36"/>
      <c r="C11" s="36"/>
      <c r="D11" s="36"/>
      <c r="E11" s="36"/>
      <c r="F11" s="36"/>
    </row>
    <row r="12" spans="2:14" x14ac:dyDescent="0.3">
      <c r="B12" s="36" t="s">
        <v>55</v>
      </c>
      <c r="C12" s="36"/>
      <c r="D12" s="36"/>
      <c r="E12" s="36"/>
      <c r="F12" s="42">
        <v>1500</v>
      </c>
      <c r="H12" s="63" t="s">
        <v>108</v>
      </c>
      <c r="I12" s="39">
        <f>F12</f>
        <v>1500</v>
      </c>
    </row>
    <row r="13" spans="2:14" x14ac:dyDescent="0.3">
      <c r="B13" s="36" t="s">
        <v>53</v>
      </c>
      <c r="C13" s="36"/>
      <c r="D13" s="36"/>
      <c r="E13" s="36"/>
      <c r="F13" s="42">
        <v>300</v>
      </c>
      <c r="H13" s="63" t="s">
        <v>5</v>
      </c>
      <c r="I13" s="39">
        <f>SUM(F14:F15)-F13</f>
        <v>460</v>
      </c>
    </row>
    <row r="14" spans="2:14" x14ac:dyDescent="0.3">
      <c r="B14" s="36" t="s">
        <v>52</v>
      </c>
      <c r="C14" s="36"/>
      <c r="D14" s="36"/>
      <c r="E14" s="36"/>
      <c r="F14" s="42">
        <v>700</v>
      </c>
      <c r="H14" s="63" t="s">
        <v>79</v>
      </c>
      <c r="I14" s="39">
        <f>I12-I13</f>
        <v>1040</v>
      </c>
    </row>
    <row r="15" spans="2:14" x14ac:dyDescent="0.3">
      <c r="B15" s="36" t="s">
        <v>51</v>
      </c>
      <c r="C15" s="36"/>
      <c r="D15" s="36"/>
      <c r="E15" s="36"/>
      <c r="F15" s="42">
        <v>60</v>
      </c>
      <c r="H15" s="63" t="s">
        <v>109</v>
      </c>
      <c r="I15" s="39">
        <f>F16</f>
        <v>100</v>
      </c>
    </row>
    <row r="16" spans="2:14" x14ac:dyDescent="0.3">
      <c r="B16" s="36" t="s">
        <v>50</v>
      </c>
      <c r="C16" s="36"/>
      <c r="D16" s="36"/>
      <c r="E16" s="36"/>
      <c r="F16" s="43">
        <v>100</v>
      </c>
      <c r="I16" s="44">
        <f>I14/I15</f>
        <v>10.4</v>
      </c>
    </row>
    <row r="18" spans="2:16" ht="18" x14ac:dyDescent="0.35">
      <c r="B18" s="34" t="s">
        <v>75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P18" s="45"/>
    </row>
    <row r="19" spans="2:16" x14ac:dyDescent="0.3">
      <c r="B19" s="36"/>
      <c r="C19" s="36"/>
      <c r="D19" s="36"/>
      <c r="E19" s="36"/>
      <c r="F19" s="36"/>
      <c r="G19" s="36"/>
    </row>
    <row r="20" spans="2:16" x14ac:dyDescent="0.3">
      <c r="B20" s="36" t="s">
        <v>52</v>
      </c>
      <c r="C20" s="36"/>
      <c r="D20" s="36"/>
      <c r="E20" s="36"/>
      <c r="F20" s="46">
        <v>800</v>
      </c>
      <c r="G20" s="36"/>
      <c r="I20" s="39"/>
    </row>
    <row r="21" spans="2:16" x14ac:dyDescent="0.3">
      <c r="B21" s="36" t="s">
        <v>57</v>
      </c>
      <c r="C21" s="36"/>
      <c r="D21" s="36"/>
      <c r="E21" s="36"/>
      <c r="F21" s="46">
        <v>56</v>
      </c>
      <c r="G21" s="36"/>
      <c r="I21" s="39"/>
    </row>
    <row r="22" spans="2:16" x14ac:dyDescent="0.3">
      <c r="B22" s="36" t="s">
        <v>51</v>
      </c>
      <c r="C22" s="36"/>
      <c r="D22" s="36"/>
      <c r="E22" s="36"/>
      <c r="F22" s="46">
        <v>67</v>
      </c>
      <c r="G22" s="36"/>
      <c r="I22" s="39"/>
    </row>
    <row r="23" spans="2:16" x14ac:dyDescent="0.3">
      <c r="B23" s="36" t="s">
        <v>49</v>
      </c>
      <c r="C23" s="36"/>
      <c r="D23" s="36"/>
      <c r="E23" s="36"/>
      <c r="F23" s="47">
        <v>3</v>
      </c>
      <c r="G23" s="36"/>
      <c r="I23" s="39"/>
    </row>
    <row r="24" spans="2:16" x14ac:dyDescent="0.3">
      <c r="B24" s="36" t="s">
        <v>53</v>
      </c>
      <c r="C24" s="36"/>
      <c r="D24" s="36"/>
      <c r="E24" s="36"/>
      <c r="F24" s="46">
        <v>45</v>
      </c>
      <c r="G24" s="36"/>
      <c r="I24" s="41"/>
    </row>
    <row r="25" spans="2:16" x14ac:dyDescent="0.3">
      <c r="B25" s="36" t="s">
        <v>58</v>
      </c>
      <c r="C25" s="36"/>
      <c r="D25" s="36"/>
      <c r="E25" s="36"/>
      <c r="F25" s="46">
        <v>12</v>
      </c>
      <c r="G25" s="36"/>
    </row>
    <row r="26" spans="2:16" x14ac:dyDescent="0.3">
      <c r="B26" s="36" t="s">
        <v>50</v>
      </c>
      <c r="C26" s="36"/>
      <c r="D26" s="36"/>
      <c r="E26" s="36"/>
      <c r="F26" s="19">
        <v>300</v>
      </c>
      <c r="G26" s="36"/>
    </row>
    <row r="27" spans="2:16" x14ac:dyDescent="0.3">
      <c r="B27" s="36"/>
      <c r="C27" s="36"/>
      <c r="D27" s="36"/>
      <c r="E27" s="36"/>
      <c r="F27" s="36"/>
      <c r="G27" s="36"/>
    </row>
    <row r="28" spans="2:16" x14ac:dyDescent="0.3">
      <c r="B28" s="36"/>
      <c r="C28" s="36"/>
      <c r="D28" s="36"/>
      <c r="E28" s="36"/>
      <c r="F28" s="48"/>
      <c r="G28" s="36"/>
    </row>
    <row r="29" spans="2:16" x14ac:dyDescent="0.3">
      <c r="B29" s="36"/>
      <c r="C29" s="36"/>
      <c r="D29" s="36"/>
      <c r="E29" s="36"/>
      <c r="F29" s="36"/>
      <c r="G29" s="36"/>
    </row>
    <row r="30" spans="2:16" x14ac:dyDescent="0.3">
      <c r="B30" s="49"/>
      <c r="C30" s="36"/>
      <c r="D30" s="36"/>
      <c r="E30" s="36"/>
      <c r="G30" s="3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CC0B8-F0D6-447A-8347-C5E8B0B7DACE}">
  <dimension ref="A2:P53"/>
  <sheetViews>
    <sheetView showGridLines="0" tabSelected="1" topLeftCell="A13" zoomScale="120" zoomScaleNormal="120" workbookViewId="0">
      <selection activeCell="F31" sqref="F31"/>
    </sheetView>
  </sheetViews>
  <sheetFormatPr defaultRowHeight="14.4" x14ac:dyDescent="0.3"/>
  <cols>
    <col min="1" max="1" width="4.77734375" style="35" customWidth="1"/>
    <col min="2" max="14" width="10.77734375" style="35" customWidth="1"/>
    <col min="15" max="16384" width="8.88671875" style="35"/>
  </cols>
  <sheetData>
    <row r="2" spans="2:14" ht="18" x14ac:dyDescent="0.35">
      <c r="B2" s="34" t="s">
        <v>106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4" x14ac:dyDescent="0.3">
      <c r="B3" s="36"/>
      <c r="C3" s="36"/>
      <c r="D3" s="36"/>
      <c r="E3" s="36"/>
      <c r="F3" s="36"/>
    </row>
    <row r="4" spans="2:14" x14ac:dyDescent="0.3">
      <c r="B4" s="35" t="s">
        <v>80</v>
      </c>
      <c r="E4" s="61">
        <v>0.04</v>
      </c>
    </row>
    <row r="5" spans="2:14" x14ac:dyDescent="0.3">
      <c r="E5" s="50"/>
    </row>
    <row r="6" spans="2:14" x14ac:dyDescent="0.3">
      <c r="E6" s="51" t="s">
        <v>83</v>
      </c>
      <c r="J6" s="51" t="s">
        <v>84</v>
      </c>
    </row>
    <row r="7" spans="2:14" x14ac:dyDescent="0.3">
      <c r="B7" s="58" t="s">
        <v>47</v>
      </c>
      <c r="C7" s="58"/>
      <c r="D7" s="58"/>
      <c r="E7" s="58">
        <v>0</v>
      </c>
      <c r="F7" s="58">
        <v>1</v>
      </c>
      <c r="G7" s="58">
        <v>2</v>
      </c>
      <c r="H7" s="58">
        <v>3</v>
      </c>
      <c r="I7" s="58">
        <v>4</v>
      </c>
      <c r="J7" s="60">
        <v>5</v>
      </c>
    </row>
    <row r="8" spans="2:14" x14ac:dyDescent="0.3">
      <c r="B8" s="35" t="s">
        <v>81</v>
      </c>
      <c r="E8" s="52">
        <v>100</v>
      </c>
      <c r="F8" s="55">
        <f>E8*(1+$E$4)</f>
        <v>104</v>
      </c>
      <c r="G8" s="55">
        <f t="shared" ref="G8:J8" si="0">F8*(1+$E$4)</f>
        <v>108.16</v>
      </c>
      <c r="H8" s="55">
        <f t="shared" si="0"/>
        <v>112.4864</v>
      </c>
      <c r="I8" s="55">
        <f t="shared" si="0"/>
        <v>116.98585600000001</v>
      </c>
      <c r="J8" s="55">
        <f t="shared" si="0"/>
        <v>121.66529024000002</v>
      </c>
    </row>
    <row r="9" spans="2:14" x14ac:dyDescent="0.3">
      <c r="B9" s="35" t="s">
        <v>82</v>
      </c>
      <c r="E9" s="52"/>
      <c r="F9" s="52"/>
      <c r="G9" s="52"/>
      <c r="H9" s="52"/>
      <c r="I9" s="52"/>
      <c r="J9" s="52">
        <v>100</v>
      </c>
    </row>
    <row r="11" spans="2:14" x14ac:dyDescent="0.3">
      <c r="B11" s="35" t="s">
        <v>85</v>
      </c>
      <c r="E11" s="54">
        <f>J9/(1+E4)^J7</f>
        <v>82.19271067593516</v>
      </c>
      <c r="F11" s="54">
        <f>E11*(1+$E$4)</f>
        <v>85.480419102972576</v>
      </c>
      <c r="G11" s="54">
        <f t="shared" ref="G11:J11" si="1">F11*(1+$E$4)</f>
        <v>88.899635867091476</v>
      </c>
      <c r="H11" s="54">
        <f t="shared" si="1"/>
        <v>92.455621301775139</v>
      </c>
      <c r="I11" s="54">
        <f t="shared" si="1"/>
        <v>96.153846153846146</v>
      </c>
      <c r="J11" s="64">
        <f t="shared" si="1"/>
        <v>100</v>
      </c>
    </row>
    <row r="19" spans="2:16" ht="18" x14ac:dyDescent="0.35">
      <c r="B19" s="34" t="s">
        <v>98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P19" s="45"/>
    </row>
    <row r="22" spans="2:16" x14ac:dyDescent="0.3">
      <c r="B22" s="35" t="s">
        <v>102</v>
      </c>
      <c r="E22" s="61">
        <v>0.1</v>
      </c>
    </row>
    <row r="24" spans="2:16" x14ac:dyDescent="0.3">
      <c r="B24" s="58" t="s">
        <v>47</v>
      </c>
      <c r="C24" s="58"/>
      <c r="D24" s="58"/>
      <c r="E24" s="58">
        <v>0</v>
      </c>
      <c r="F24" s="58">
        <f>E24+1</f>
        <v>1</v>
      </c>
      <c r="G24" s="58">
        <f t="shared" ref="G24:H24" si="2">F24+1</f>
        <v>2</v>
      </c>
      <c r="H24" s="58">
        <f t="shared" si="2"/>
        <v>3</v>
      </c>
    </row>
    <row r="25" spans="2:16" x14ac:dyDescent="0.3">
      <c r="B25" s="35" t="s">
        <v>99</v>
      </c>
      <c r="E25" s="62">
        <v>10000</v>
      </c>
      <c r="F25" s="62"/>
      <c r="G25" s="62"/>
      <c r="H25" s="62"/>
    </row>
    <row r="26" spans="2:16" x14ac:dyDescent="0.3">
      <c r="B26" s="35" t="s">
        <v>100</v>
      </c>
      <c r="E26" s="62"/>
      <c r="F26" s="62">
        <v>10500</v>
      </c>
      <c r="G26" s="62"/>
      <c r="H26" s="62"/>
    </row>
    <row r="27" spans="2:16" x14ac:dyDescent="0.3">
      <c r="B27" s="35" t="s">
        <v>101</v>
      </c>
      <c r="E27" s="62"/>
      <c r="F27" s="62"/>
      <c r="G27" s="62"/>
      <c r="H27" s="62">
        <v>12000</v>
      </c>
    </row>
    <row r="30" spans="2:16" ht="15" thickBot="1" x14ac:dyDescent="0.35"/>
    <row r="31" spans="2:16" ht="15" thickBot="1" x14ac:dyDescent="0.35">
      <c r="B31" s="36" t="s">
        <v>103</v>
      </c>
      <c r="C31" s="36"/>
      <c r="D31" s="36"/>
      <c r="E31" s="65">
        <f>E25</f>
        <v>10000</v>
      </c>
      <c r="F31" s="36"/>
      <c r="G31" s="36"/>
    </row>
    <row r="32" spans="2:16" x14ac:dyDescent="0.3">
      <c r="B32" s="36" t="s">
        <v>104</v>
      </c>
      <c r="C32" s="36"/>
      <c r="D32" s="36"/>
      <c r="E32" s="36">
        <f>F26/(1+E22)^F24</f>
        <v>9545.4545454545441</v>
      </c>
      <c r="F32" s="48"/>
      <c r="G32" s="36"/>
    </row>
    <row r="33" spans="1:15" x14ac:dyDescent="0.3">
      <c r="B33" s="36" t="s">
        <v>105</v>
      </c>
      <c r="E33" s="35">
        <f>H27/(1+E22)^H24</f>
        <v>9015.77761081893</v>
      </c>
    </row>
    <row r="44" spans="1:15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1:15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E74F-12A0-472B-A155-6586F7047E2F}">
  <dimension ref="B2:O141"/>
  <sheetViews>
    <sheetView showGridLines="0" zoomScale="125" workbookViewId="0">
      <selection activeCell="K19" sqref="K19"/>
    </sheetView>
  </sheetViews>
  <sheetFormatPr defaultRowHeight="14.4" x14ac:dyDescent="0.3"/>
  <cols>
    <col min="1" max="1" width="4.77734375" customWidth="1"/>
    <col min="2" max="2" width="16.77734375" customWidth="1"/>
    <col min="3" max="14" width="11.77734375" customWidth="1"/>
  </cols>
  <sheetData>
    <row r="2" spans="2:15" ht="21" x14ac:dyDescent="0.4">
      <c r="B2" s="21" t="s">
        <v>59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t="s">
        <v>48</v>
      </c>
    </row>
    <row r="3" spans="2:15" x14ac:dyDescent="0.3">
      <c r="O3" t="s">
        <v>48</v>
      </c>
    </row>
    <row r="4" spans="2:15" x14ac:dyDescent="0.3">
      <c r="B4" s="7" t="s">
        <v>18</v>
      </c>
    </row>
    <row r="6" spans="2:15" x14ac:dyDescent="0.3">
      <c r="B6" s="3" t="s">
        <v>0</v>
      </c>
      <c r="C6" s="4"/>
      <c r="D6" s="4"/>
      <c r="F6" s="3" t="s">
        <v>60</v>
      </c>
      <c r="G6" s="4"/>
      <c r="H6" s="20" t="s">
        <v>8</v>
      </c>
      <c r="I6" s="20" t="s">
        <v>9</v>
      </c>
      <c r="K6" s="3" t="s">
        <v>61</v>
      </c>
      <c r="L6" s="4"/>
      <c r="M6" s="20" t="s">
        <v>8</v>
      </c>
      <c r="O6" t="s">
        <v>48</v>
      </c>
    </row>
    <row r="7" spans="2:15" x14ac:dyDescent="0.3">
      <c r="B7" t="s">
        <v>1</v>
      </c>
      <c r="D7" s="5">
        <v>9.5</v>
      </c>
      <c r="F7" t="s">
        <v>72</v>
      </c>
      <c r="H7">
        <f>D13</f>
        <v>40</v>
      </c>
      <c r="I7" s="5">
        <f>H7/$D$9</f>
        <v>0.41666666666666669</v>
      </c>
      <c r="K7" t="s">
        <v>10</v>
      </c>
      <c r="M7">
        <f>D16</f>
        <v>732</v>
      </c>
      <c r="O7" t="s">
        <v>48</v>
      </c>
    </row>
    <row r="8" spans="2:15" x14ac:dyDescent="0.3">
      <c r="B8" t="s">
        <v>2</v>
      </c>
      <c r="D8" s="5">
        <v>9.5</v>
      </c>
      <c r="F8" t="s">
        <v>7</v>
      </c>
      <c r="H8" s="31">
        <v>500</v>
      </c>
      <c r="I8" s="5">
        <f t="shared" ref="I8:I10" si="0">H8/$D$9</f>
        <v>5.208333333333333</v>
      </c>
      <c r="K8" s="4" t="s">
        <v>77</v>
      </c>
      <c r="L8" s="4"/>
      <c r="M8" s="4">
        <f>D14</f>
        <v>220</v>
      </c>
      <c r="O8" t="s">
        <v>48</v>
      </c>
    </row>
    <row r="9" spans="2:15" x14ac:dyDescent="0.3">
      <c r="B9" t="s">
        <v>3</v>
      </c>
      <c r="D9">
        <v>96</v>
      </c>
      <c r="F9" s="4" t="s">
        <v>66</v>
      </c>
      <c r="G9" s="4"/>
      <c r="H9" s="4">
        <f>H10-SUM(H7:H8)</f>
        <v>412</v>
      </c>
      <c r="I9" s="30">
        <f t="shared" si="0"/>
        <v>4.291666666666667</v>
      </c>
      <c r="K9" s="1" t="s">
        <v>67</v>
      </c>
      <c r="M9" s="1">
        <f>SUM(M7:M8)</f>
        <v>952</v>
      </c>
      <c r="O9" t="s">
        <v>48</v>
      </c>
    </row>
    <row r="10" spans="2:15" x14ac:dyDescent="0.3">
      <c r="F10" t="s">
        <v>67</v>
      </c>
      <c r="H10">
        <f>M9</f>
        <v>952</v>
      </c>
      <c r="I10" s="5">
        <f t="shared" si="0"/>
        <v>9.9166666666666661</v>
      </c>
      <c r="O10" t="s">
        <v>48</v>
      </c>
    </row>
    <row r="11" spans="2:15" x14ac:dyDescent="0.3">
      <c r="B11" s="3" t="s">
        <v>4</v>
      </c>
      <c r="C11" s="4"/>
      <c r="D11" s="4"/>
      <c r="O11" t="s">
        <v>48</v>
      </c>
    </row>
    <row r="12" spans="2:15" x14ac:dyDescent="0.3">
      <c r="B12" t="s">
        <v>68</v>
      </c>
      <c r="D12">
        <f>D9*D7</f>
        <v>912</v>
      </c>
      <c r="O12" t="s">
        <v>48</v>
      </c>
    </row>
    <row r="13" spans="2:15" x14ac:dyDescent="0.3">
      <c r="B13" t="s">
        <v>69</v>
      </c>
      <c r="D13">
        <v>40</v>
      </c>
      <c r="F13" s="3" t="s">
        <v>11</v>
      </c>
      <c r="G13" s="3"/>
      <c r="H13" s="3"/>
      <c r="I13" s="3"/>
      <c r="K13" s="3" t="s">
        <v>25</v>
      </c>
      <c r="L13" s="4"/>
      <c r="M13" s="4"/>
      <c r="O13" t="s">
        <v>48</v>
      </c>
    </row>
    <row r="14" spans="2:15" ht="15" thickBot="1" x14ac:dyDescent="0.35">
      <c r="B14" t="s">
        <v>7</v>
      </c>
      <c r="D14">
        <v>220</v>
      </c>
      <c r="F14" t="s">
        <v>13</v>
      </c>
      <c r="I14" s="28">
        <v>7.0000000000000007E-2</v>
      </c>
      <c r="O14" t="s">
        <v>48</v>
      </c>
    </row>
    <row r="15" spans="2:15" x14ac:dyDescent="0.3">
      <c r="B15" t="s">
        <v>5</v>
      </c>
      <c r="D15">
        <f>D14-D13</f>
        <v>180</v>
      </c>
      <c r="F15" t="s">
        <v>14</v>
      </c>
      <c r="I15" s="28">
        <v>0.2</v>
      </c>
      <c r="K15" s="15" t="s">
        <v>26</v>
      </c>
      <c r="L15" s="16"/>
      <c r="M15" s="26"/>
      <c r="O15" t="s">
        <v>48</v>
      </c>
    </row>
    <row r="16" spans="2:15" ht="15" thickBot="1" x14ac:dyDescent="0.35">
      <c r="B16" t="s">
        <v>6</v>
      </c>
      <c r="D16" s="3">
        <f>D12-D15</f>
        <v>732</v>
      </c>
      <c r="F16" t="s">
        <v>17</v>
      </c>
      <c r="I16" s="28">
        <v>0.04</v>
      </c>
      <c r="K16" s="17" t="s">
        <v>27</v>
      </c>
      <c r="L16" s="18"/>
      <c r="M16" s="27"/>
      <c r="O16" t="s">
        <v>48</v>
      </c>
    </row>
    <row r="17" spans="2:15" x14ac:dyDescent="0.3">
      <c r="F17" t="s">
        <v>15</v>
      </c>
      <c r="I17" s="28">
        <v>2.5000000000000001E-2</v>
      </c>
      <c r="O17" t="s">
        <v>48</v>
      </c>
    </row>
    <row r="18" spans="2:15" x14ac:dyDescent="0.3">
      <c r="F18" t="s">
        <v>70</v>
      </c>
      <c r="I18" s="28">
        <v>0.09</v>
      </c>
      <c r="O18" t="s">
        <v>48</v>
      </c>
    </row>
    <row r="19" spans="2:15" x14ac:dyDescent="0.3">
      <c r="F19" t="s">
        <v>31</v>
      </c>
      <c r="I19" s="28">
        <v>0.1</v>
      </c>
      <c r="O19" t="s">
        <v>48</v>
      </c>
    </row>
    <row r="20" spans="2:15" x14ac:dyDescent="0.3">
      <c r="F20" t="s">
        <v>23</v>
      </c>
      <c r="I20" s="28">
        <v>0.2</v>
      </c>
      <c r="O20" t="s">
        <v>48</v>
      </c>
    </row>
    <row r="21" spans="2:15" x14ac:dyDescent="0.3">
      <c r="O21" t="s">
        <v>48</v>
      </c>
    </row>
    <row r="22" spans="2:15" x14ac:dyDescent="0.3">
      <c r="O22" t="s">
        <v>48</v>
      </c>
    </row>
    <row r="23" spans="2:15" x14ac:dyDescent="0.3">
      <c r="O23" t="s">
        <v>48</v>
      </c>
    </row>
    <row r="24" spans="2:15" ht="21" x14ac:dyDescent="0.4">
      <c r="B24" s="21" t="s">
        <v>12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t="s">
        <v>48</v>
      </c>
    </row>
    <row r="25" spans="2:15" x14ac:dyDescent="0.3">
      <c r="O25" t="s">
        <v>48</v>
      </c>
    </row>
    <row r="26" spans="2:15" x14ac:dyDescent="0.3">
      <c r="B26" s="7" t="s">
        <v>18</v>
      </c>
      <c r="I26" s="22">
        <v>0</v>
      </c>
      <c r="J26" s="23">
        <f>I26+1</f>
        <v>1</v>
      </c>
      <c r="K26" s="23">
        <f t="shared" ref="K26:N26" si="1">J26+1</f>
        <v>2</v>
      </c>
      <c r="L26" s="23">
        <f t="shared" si="1"/>
        <v>3</v>
      </c>
      <c r="M26" s="23">
        <f t="shared" si="1"/>
        <v>4</v>
      </c>
      <c r="N26" s="23">
        <f t="shared" si="1"/>
        <v>5</v>
      </c>
      <c r="O26" s="23" t="s">
        <v>48</v>
      </c>
    </row>
    <row r="27" spans="2:15" x14ac:dyDescent="0.3">
      <c r="O27" t="s">
        <v>48</v>
      </c>
    </row>
    <row r="28" spans="2:15" x14ac:dyDescent="0.3">
      <c r="B28" s="1" t="s">
        <v>19</v>
      </c>
      <c r="I28" s="8">
        <v>480</v>
      </c>
      <c r="J28" s="10">
        <f>(1+$I$14)*I28</f>
        <v>513.6</v>
      </c>
      <c r="K28" s="10">
        <f t="shared" ref="K28:N28" si="2">(1+$I$14)*J28</f>
        <v>549.55200000000002</v>
      </c>
      <c r="L28" s="10">
        <f t="shared" si="2"/>
        <v>588.02064000000007</v>
      </c>
      <c r="M28" s="10">
        <f t="shared" si="2"/>
        <v>629.1820848000001</v>
      </c>
      <c r="N28" s="10">
        <f t="shared" si="2"/>
        <v>673.22483073600017</v>
      </c>
      <c r="O28" t="s">
        <v>48</v>
      </c>
    </row>
    <row r="29" spans="2:15" x14ac:dyDescent="0.3">
      <c r="B29" s="6" t="s">
        <v>62</v>
      </c>
      <c r="J29" s="9"/>
      <c r="K29" s="9"/>
      <c r="L29" s="9"/>
      <c r="M29" s="9"/>
      <c r="N29" s="9"/>
      <c r="O29" t="s">
        <v>48</v>
      </c>
    </row>
    <row r="30" spans="2:15" x14ac:dyDescent="0.3">
      <c r="O30" t="s">
        <v>48</v>
      </c>
    </row>
    <row r="31" spans="2:15" x14ac:dyDescent="0.3">
      <c r="B31" s="1" t="s">
        <v>20</v>
      </c>
      <c r="I31" s="10">
        <f>D9</f>
        <v>96</v>
      </c>
      <c r="J31" s="10">
        <f>$I$15*J28</f>
        <v>102.72000000000001</v>
      </c>
      <c r="K31" s="10">
        <f t="shared" ref="K31:N31" si="3">$I$15*K28</f>
        <v>109.91040000000001</v>
      </c>
      <c r="L31" s="10">
        <f t="shared" si="3"/>
        <v>117.60412800000002</v>
      </c>
      <c r="M31" s="10">
        <f t="shared" si="3"/>
        <v>125.83641696000002</v>
      </c>
      <c r="N31" s="10">
        <f t="shared" si="3"/>
        <v>134.64496614720005</v>
      </c>
      <c r="O31" t="s">
        <v>48</v>
      </c>
    </row>
    <row r="32" spans="2:15" x14ac:dyDescent="0.3">
      <c r="B32" s="6" t="s">
        <v>21</v>
      </c>
      <c r="J32" s="9"/>
      <c r="K32" s="9"/>
      <c r="L32" s="9"/>
      <c r="M32" s="9"/>
      <c r="N32" s="9"/>
      <c r="O32" t="s">
        <v>48</v>
      </c>
    </row>
    <row r="33" spans="2:15" x14ac:dyDescent="0.3">
      <c r="O33" t="s">
        <v>48</v>
      </c>
    </row>
    <row r="34" spans="2:15" x14ac:dyDescent="0.3">
      <c r="B34" s="1" t="s">
        <v>22</v>
      </c>
      <c r="I34" s="10"/>
      <c r="J34" s="10">
        <f t="shared" ref="J34:N34" si="4">-$I$17*J28</f>
        <v>-12.840000000000002</v>
      </c>
      <c r="K34" s="10">
        <f t="shared" si="4"/>
        <v>-13.738800000000001</v>
      </c>
      <c r="L34" s="10">
        <f t="shared" si="4"/>
        <v>-14.700516000000002</v>
      </c>
      <c r="M34" s="10">
        <f t="shared" si="4"/>
        <v>-15.729552120000003</v>
      </c>
      <c r="N34" s="10">
        <f t="shared" si="4"/>
        <v>-16.830620768400006</v>
      </c>
      <c r="O34" t="s">
        <v>48</v>
      </c>
    </row>
    <row r="35" spans="2:15" x14ac:dyDescent="0.3">
      <c r="B35" s="6" t="s">
        <v>21</v>
      </c>
      <c r="J35" s="9"/>
      <c r="K35" s="9"/>
      <c r="L35" s="9"/>
      <c r="M35" s="9"/>
      <c r="N35" s="9"/>
      <c r="O35" t="s">
        <v>48</v>
      </c>
    </row>
    <row r="36" spans="2:15" x14ac:dyDescent="0.3">
      <c r="O36" t="s">
        <v>48</v>
      </c>
    </row>
    <row r="37" spans="2:15" x14ac:dyDescent="0.3">
      <c r="B37" s="1" t="s">
        <v>24</v>
      </c>
      <c r="I37" s="10"/>
      <c r="J37" s="10">
        <f>J31+J34</f>
        <v>89.88000000000001</v>
      </c>
      <c r="K37" s="10">
        <f t="shared" ref="K37:N37" si="5">K31+K34</f>
        <v>96.171600000000012</v>
      </c>
      <c r="L37" s="10">
        <f t="shared" si="5"/>
        <v>102.90361200000001</v>
      </c>
      <c r="M37" s="10">
        <f t="shared" si="5"/>
        <v>110.10686484000001</v>
      </c>
      <c r="N37" s="10">
        <f t="shared" si="5"/>
        <v>117.81434537880004</v>
      </c>
      <c r="O37" t="s">
        <v>48</v>
      </c>
    </row>
    <row r="38" spans="2:15" x14ac:dyDescent="0.3">
      <c r="O38" t="s">
        <v>48</v>
      </c>
    </row>
    <row r="39" spans="2:15" x14ac:dyDescent="0.3">
      <c r="B39" s="1" t="s">
        <v>39</v>
      </c>
      <c r="I39" s="10"/>
      <c r="J39" s="10">
        <f>-J65</f>
        <v>-45</v>
      </c>
      <c r="K39" s="10">
        <f t="shared" ref="K39:N39" si="6">-K65</f>
        <v>-45</v>
      </c>
      <c r="L39" s="10">
        <f t="shared" si="6"/>
        <v>-45</v>
      </c>
      <c r="M39" s="10">
        <f t="shared" si="6"/>
        <v>-45</v>
      </c>
      <c r="N39" s="10">
        <f t="shared" si="6"/>
        <v>-45</v>
      </c>
      <c r="O39" t="s">
        <v>48</v>
      </c>
    </row>
    <row r="40" spans="2:15" x14ac:dyDescent="0.3">
      <c r="O40" t="s">
        <v>48</v>
      </c>
    </row>
    <row r="41" spans="2:15" x14ac:dyDescent="0.3">
      <c r="B41" s="1" t="s">
        <v>29</v>
      </c>
      <c r="I41" s="10"/>
      <c r="J41" s="10">
        <f>J37+J39</f>
        <v>44.88000000000001</v>
      </c>
      <c r="K41" s="10">
        <f t="shared" ref="K41:N41" si="7">K37+K39</f>
        <v>51.171600000000012</v>
      </c>
      <c r="L41" s="10">
        <f t="shared" si="7"/>
        <v>57.90361200000001</v>
      </c>
      <c r="M41" s="10">
        <f t="shared" si="7"/>
        <v>65.106864840000014</v>
      </c>
      <c r="N41" s="10">
        <f t="shared" si="7"/>
        <v>72.814345378800041</v>
      </c>
      <c r="O41" t="s">
        <v>48</v>
      </c>
    </row>
    <row r="42" spans="2:15" x14ac:dyDescent="0.3">
      <c r="E42" s="24" t="s">
        <v>23</v>
      </c>
      <c r="I42" s="10"/>
      <c r="J42" s="10"/>
      <c r="K42" s="10"/>
      <c r="L42" s="10"/>
      <c r="M42" s="10"/>
      <c r="N42" s="10"/>
      <c r="O42" t="s">
        <v>48</v>
      </c>
    </row>
    <row r="43" spans="2:15" x14ac:dyDescent="0.3">
      <c r="B43" s="1" t="s">
        <v>28</v>
      </c>
      <c r="E43" s="29">
        <f>$I$20</f>
        <v>0.2</v>
      </c>
      <c r="I43" s="10"/>
      <c r="J43" s="10">
        <f>-$E$43*J41</f>
        <v>-8.9760000000000026</v>
      </c>
      <c r="K43" s="10">
        <f t="shared" ref="K43:N43" si="8">-$E$43*K41</f>
        <v>-10.234320000000004</v>
      </c>
      <c r="L43" s="10">
        <f t="shared" si="8"/>
        <v>-11.580722400000003</v>
      </c>
      <c r="M43" s="10">
        <f t="shared" si="8"/>
        <v>-13.021372968000003</v>
      </c>
      <c r="N43" s="10">
        <f t="shared" si="8"/>
        <v>-14.562869075760009</v>
      </c>
      <c r="O43" s="10"/>
    </row>
    <row r="44" spans="2:15" x14ac:dyDescent="0.3">
      <c r="B44" s="1" t="s">
        <v>30</v>
      </c>
      <c r="I44" s="14"/>
      <c r="J44" s="14">
        <f>J41+J43</f>
        <v>35.904000000000011</v>
      </c>
      <c r="K44" s="14">
        <f t="shared" ref="K44:N44" si="9">K41+K43</f>
        <v>40.937280000000008</v>
      </c>
      <c r="L44" s="14">
        <f t="shared" si="9"/>
        <v>46.322889600000011</v>
      </c>
      <c r="M44" s="14">
        <f t="shared" si="9"/>
        <v>52.085491872000013</v>
      </c>
      <c r="N44" s="14">
        <f t="shared" si="9"/>
        <v>58.251476303040036</v>
      </c>
      <c r="O44" t="s">
        <v>48</v>
      </c>
    </row>
    <row r="45" spans="2:15" x14ac:dyDescent="0.3">
      <c r="O45" t="s">
        <v>48</v>
      </c>
    </row>
    <row r="46" spans="2:15" x14ac:dyDescent="0.3">
      <c r="O46" t="s">
        <v>48</v>
      </c>
    </row>
    <row r="47" spans="2:15" ht="21" x14ac:dyDescent="0.4">
      <c r="B47" s="21" t="s">
        <v>34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t="s">
        <v>48</v>
      </c>
    </row>
    <row r="48" spans="2:15" x14ac:dyDescent="0.3">
      <c r="O48" t="s">
        <v>48</v>
      </c>
    </row>
    <row r="49" spans="2:15" x14ac:dyDescent="0.3">
      <c r="B49" s="7" t="s">
        <v>18</v>
      </c>
      <c r="I49" s="22">
        <v>0</v>
      </c>
      <c r="J49" s="23">
        <f>I49+1</f>
        <v>1</v>
      </c>
      <c r="K49" s="23">
        <f t="shared" ref="K49:N49" si="10">J49+1</f>
        <v>2</v>
      </c>
      <c r="L49" s="23">
        <f t="shared" si="10"/>
        <v>3</v>
      </c>
      <c r="M49" s="23">
        <f t="shared" si="10"/>
        <v>4</v>
      </c>
      <c r="N49" s="23">
        <f t="shared" si="10"/>
        <v>5</v>
      </c>
      <c r="O49" t="s">
        <v>48</v>
      </c>
    </row>
    <row r="50" spans="2:15" x14ac:dyDescent="0.3">
      <c r="O50" t="s">
        <v>48</v>
      </c>
    </row>
    <row r="51" spans="2:15" x14ac:dyDescent="0.3">
      <c r="B51" t="s">
        <v>30</v>
      </c>
      <c r="I51" s="10"/>
      <c r="J51" s="10">
        <f>J44</f>
        <v>35.904000000000011</v>
      </c>
      <c r="K51" s="10">
        <f t="shared" ref="K51:N51" si="11">K44</f>
        <v>40.937280000000008</v>
      </c>
      <c r="L51" s="10">
        <f t="shared" si="11"/>
        <v>46.322889600000011</v>
      </c>
      <c r="M51" s="10">
        <f t="shared" si="11"/>
        <v>52.085491872000013</v>
      </c>
      <c r="N51" s="10">
        <f t="shared" si="11"/>
        <v>58.251476303040036</v>
      </c>
      <c r="O51" t="s">
        <v>48</v>
      </c>
    </row>
    <row r="52" spans="2:15" x14ac:dyDescent="0.3">
      <c r="B52" t="s">
        <v>22</v>
      </c>
      <c r="I52" s="10"/>
      <c r="J52" s="10">
        <f>-J34</f>
        <v>12.840000000000002</v>
      </c>
      <c r="K52" s="10">
        <f t="shared" ref="K52:N52" si="12">-K34</f>
        <v>13.738800000000001</v>
      </c>
      <c r="L52" s="10">
        <f t="shared" si="12"/>
        <v>14.700516000000002</v>
      </c>
      <c r="M52" s="10">
        <f t="shared" si="12"/>
        <v>15.729552120000003</v>
      </c>
      <c r="N52" s="10">
        <f t="shared" si="12"/>
        <v>16.830620768400006</v>
      </c>
      <c r="O52" t="s">
        <v>48</v>
      </c>
    </row>
    <row r="53" spans="2:15" x14ac:dyDescent="0.3">
      <c r="B53" t="s">
        <v>33</v>
      </c>
      <c r="I53" s="10"/>
      <c r="J53" s="10">
        <f>-$I$16*J28</f>
        <v>-20.544</v>
      </c>
      <c r="K53" s="10">
        <f t="shared" ref="K53:N53" si="13">-$I$16*K28</f>
        <v>-21.98208</v>
      </c>
      <c r="L53" s="10">
        <f t="shared" si="13"/>
        <v>-23.520825600000002</v>
      </c>
      <c r="M53" s="10">
        <f t="shared" si="13"/>
        <v>-25.167283392000005</v>
      </c>
      <c r="N53" s="10">
        <f t="shared" si="13"/>
        <v>-26.928993229440007</v>
      </c>
      <c r="O53" t="s">
        <v>48</v>
      </c>
    </row>
    <row r="54" spans="2:15" x14ac:dyDescent="0.3">
      <c r="B54" t="s">
        <v>73</v>
      </c>
      <c r="I54" s="10"/>
      <c r="J54" s="10">
        <f>J61</f>
        <v>-3.3600000000000065</v>
      </c>
      <c r="K54" s="10">
        <f t="shared" ref="K54:N54" si="14">K61</f>
        <v>-3.5951999999999984</v>
      </c>
      <c r="L54" s="10">
        <f t="shared" si="14"/>
        <v>-3.8468640000000036</v>
      </c>
      <c r="M54" s="10">
        <f t="shared" si="14"/>
        <v>-4.1161444800000027</v>
      </c>
      <c r="N54" s="10">
        <f t="shared" si="14"/>
        <v>-4.4042745936000145</v>
      </c>
      <c r="O54" t="s">
        <v>48</v>
      </c>
    </row>
    <row r="55" spans="2:15" x14ac:dyDescent="0.3">
      <c r="B55" s="1" t="s">
        <v>38</v>
      </c>
      <c r="I55" s="10"/>
      <c r="J55" s="11">
        <f>SUM(J51:J54)</f>
        <v>24.840000000000007</v>
      </c>
      <c r="K55" s="11">
        <f t="shared" ref="K55:N55" si="15">SUM(K51:K54)</f>
        <v>29.098800000000018</v>
      </c>
      <c r="L55" s="11">
        <f t="shared" si="15"/>
        <v>33.655716000000005</v>
      </c>
      <c r="M55" s="11">
        <f t="shared" si="15"/>
        <v>38.53161612000001</v>
      </c>
      <c r="N55" s="11">
        <f t="shared" si="15"/>
        <v>43.748829248400021</v>
      </c>
      <c r="O55" t="s">
        <v>48</v>
      </c>
    </row>
    <row r="56" spans="2:15" x14ac:dyDescent="0.3">
      <c r="B56" t="s">
        <v>35</v>
      </c>
      <c r="I56" s="4"/>
      <c r="J56" s="14">
        <f>I56+J55</f>
        <v>24.840000000000007</v>
      </c>
      <c r="K56" s="14">
        <f t="shared" ref="K56:N56" si="16">J56+K55</f>
        <v>53.938800000000029</v>
      </c>
      <c r="L56" s="14">
        <f t="shared" si="16"/>
        <v>87.594516000000027</v>
      </c>
      <c r="M56" s="14">
        <f t="shared" si="16"/>
        <v>126.12613212000004</v>
      </c>
      <c r="N56" s="14">
        <f t="shared" si="16"/>
        <v>169.87496136840005</v>
      </c>
      <c r="O56" t="s">
        <v>48</v>
      </c>
    </row>
    <row r="57" spans="2:15" x14ac:dyDescent="0.3">
      <c r="O57" t="s">
        <v>48</v>
      </c>
    </row>
    <row r="58" spans="2:15" ht="18" x14ac:dyDescent="0.35">
      <c r="B58" s="13" t="s">
        <v>37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t="s">
        <v>48</v>
      </c>
    </row>
    <row r="59" spans="2:15" x14ac:dyDescent="0.3">
      <c r="O59" t="s">
        <v>48</v>
      </c>
    </row>
    <row r="60" spans="2:15" x14ac:dyDescent="0.3">
      <c r="B60" t="s">
        <v>32</v>
      </c>
      <c r="I60" s="31">
        <v>48</v>
      </c>
      <c r="J60" s="10">
        <f>$I$19*J28</f>
        <v>51.360000000000007</v>
      </c>
      <c r="K60" s="10">
        <f t="shared" ref="K60:N60" si="17">$I$19*K28</f>
        <v>54.955200000000005</v>
      </c>
      <c r="L60" s="10">
        <f t="shared" si="17"/>
        <v>58.802064000000009</v>
      </c>
      <c r="M60" s="10">
        <f t="shared" si="17"/>
        <v>62.918208480000011</v>
      </c>
      <c r="N60" s="10">
        <f t="shared" si="17"/>
        <v>67.322483073600026</v>
      </c>
      <c r="O60" s="10" t="s">
        <v>48</v>
      </c>
    </row>
    <row r="61" spans="2:15" x14ac:dyDescent="0.3">
      <c r="B61" t="s">
        <v>36</v>
      </c>
      <c r="J61" s="10">
        <f>I60-J60</f>
        <v>-3.3600000000000065</v>
      </c>
      <c r="K61" s="10">
        <f t="shared" ref="K61:N61" si="18">J60-K60</f>
        <v>-3.5951999999999984</v>
      </c>
      <c r="L61" s="10">
        <f t="shared" si="18"/>
        <v>-3.8468640000000036</v>
      </c>
      <c r="M61" s="10">
        <f t="shared" si="18"/>
        <v>-4.1161444800000027</v>
      </c>
      <c r="N61" s="10">
        <f t="shared" si="18"/>
        <v>-4.4042745936000145</v>
      </c>
      <c r="O61" t="s">
        <v>48</v>
      </c>
    </row>
    <row r="62" spans="2:15" x14ac:dyDescent="0.3">
      <c r="O62" t="s">
        <v>48</v>
      </c>
    </row>
    <row r="63" spans="2:15" x14ac:dyDescent="0.3">
      <c r="B63" t="s">
        <v>7</v>
      </c>
      <c r="J63">
        <f>H8</f>
        <v>500</v>
      </c>
      <c r="K63">
        <f>J63</f>
        <v>500</v>
      </c>
      <c r="L63">
        <f t="shared" ref="L63:N63" si="19">K63</f>
        <v>500</v>
      </c>
      <c r="M63">
        <f t="shared" si="19"/>
        <v>500</v>
      </c>
      <c r="N63">
        <f t="shared" si="19"/>
        <v>500</v>
      </c>
      <c r="O63" t="s">
        <v>48</v>
      </c>
    </row>
    <row r="64" spans="2:15" x14ac:dyDescent="0.3">
      <c r="B64" t="s">
        <v>16</v>
      </c>
      <c r="J64" s="9">
        <f>I18</f>
        <v>0.09</v>
      </c>
      <c r="K64" s="9">
        <f>J64</f>
        <v>0.09</v>
      </c>
      <c r="L64" s="9">
        <f t="shared" ref="L64:N64" si="20">K64</f>
        <v>0.09</v>
      </c>
      <c r="M64" s="9">
        <f t="shared" si="20"/>
        <v>0.09</v>
      </c>
      <c r="N64" s="9">
        <f t="shared" si="20"/>
        <v>0.09</v>
      </c>
      <c r="O64" t="s">
        <v>48</v>
      </c>
    </row>
    <row r="65" spans="2:15" x14ac:dyDescent="0.3">
      <c r="B65" t="s">
        <v>39</v>
      </c>
      <c r="J65">
        <f>J64*J63</f>
        <v>45</v>
      </c>
      <c r="K65">
        <f>K64*K63</f>
        <v>45</v>
      </c>
      <c r="L65">
        <f t="shared" ref="L65:N65" si="21">L64*L63</f>
        <v>45</v>
      </c>
      <c r="M65">
        <f t="shared" si="21"/>
        <v>45</v>
      </c>
      <c r="N65">
        <f t="shared" si="21"/>
        <v>45</v>
      </c>
      <c r="O65" t="s">
        <v>48</v>
      </c>
    </row>
    <row r="66" spans="2:15" x14ac:dyDescent="0.3">
      <c r="O66" t="s">
        <v>48</v>
      </c>
    </row>
    <row r="67" spans="2:15" x14ac:dyDescent="0.3">
      <c r="B67" t="s">
        <v>63</v>
      </c>
      <c r="O67" t="s">
        <v>48</v>
      </c>
    </row>
    <row r="68" spans="2:15" x14ac:dyDescent="0.3">
      <c r="O68" t="s">
        <v>48</v>
      </c>
    </row>
    <row r="69" spans="2:15" x14ac:dyDescent="0.3">
      <c r="O69" t="s">
        <v>48</v>
      </c>
    </row>
    <row r="70" spans="2:15" ht="21" x14ac:dyDescent="0.4">
      <c r="B70" s="21" t="s">
        <v>40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t="s">
        <v>48</v>
      </c>
    </row>
    <row r="71" spans="2:15" x14ac:dyDescent="0.3">
      <c r="O71" t="s">
        <v>48</v>
      </c>
    </row>
    <row r="72" spans="2:15" x14ac:dyDescent="0.3">
      <c r="B72" s="3" t="s">
        <v>65</v>
      </c>
      <c r="C72" s="3"/>
      <c r="D72" s="3"/>
      <c r="E72" s="3"/>
      <c r="G72" s="3" t="s">
        <v>44</v>
      </c>
      <c r="H72" s="4"/>
      <c r="I72" s="4"/>
      <c r="K72" s="3" t="s">
        <v>64</v>
      </c>
      <c r="L72" s="4"/>
      <c r="M72" s="4"/>
      <c r="O72" t="s">
        <v>48</v>
      </c>
    </row>
    <row r="73" spans="2:15" x14ac:dyDescent="0.3">
      <c r="B73" t="s">
        <v>41</v>
      </c>
      <c r="D73">
        <f>(N31-I31)*D7</f>
        <v>367.12717839840047</v>
      </c>
      <c r="G73" t="s">
        <v>45</v>
      </c>
      <c r="I73" s="10">
        <f>N31</f>
        <v>134.64496614720005</v>
      </c>
      <c r="K73" t="s">
        <v>46</v>
      </c>
      <c r="M73" s="10">
        <f>I79</f>
        <v>949.0021397668005</v>
      </c>
      <c r="O73" t="s">
        <v>48</v>
      </c>
    </row>
    <row r="74" spans="2:15" x14ac:dyDescent="0.3">
      <c r="B74" t="s">
        <v>42</v>
      </c>
      <c r="D74">
        <f>(D8-D7)*N31</f>
        <v>0</v>
      </c>
      <c r="G74" t="s">
        <v>78</v>
      </c>
      <c r="I74" s="5">
        <f>D8</f>
        <v>9.5</v>
      </c>
      <c r="K74" t="s">
        <v>71</v>
      </c>
      <c r="M74">
        <f>H9</f>
        <v>412</v>
      </c>
      <c r="O74" t="s">
        <v>48</v>
      </c>
    </row>
    <row r="75" spans="2:15" x14ac:dyDescent="0.3">
      <c r="B75" s="4" t="s">
        <v>43</v>
      </c>
      <c r="C75" s="4"/>
      <c r="D75" s="14">
        <f>N56</f>
        <v>169.87496136840005</v>
      </c>
      <c r="E75" s="4"/>
      <c r="G75" t="s">
        <v>76</v>
      </c>
      <c r="I75" s="10">
        <f>I74*I73</f>
        <v>1279.1271783984005</v>
      </c>
      <c r="K75" t="s">
        <v>47</v>
      </c>
      <c r="M75" s="23">
        <f>N49</f>
        <v>5</v>
      </c>
      <c r="O75" t="s">
        <v>48</v>
      </c>
    </row>
    <row r="76" spans="2:15" ht="15" thickBot="1" x14ac:dyDescent="0.35">
      <c r="B76" t="s">
        <v>67</v>
      </c>
      <c r="D76" s="1">
        <f>SUM(D73:D75)</f>
        <v>537.0021397668005</v>
      </c>
      <c r="G76" t="s">
        <v>7</v>
      </c>
      <c r="I76">
        <f>N63</f>
        <v>500</v>
      </c>
      <c r="O76" t="s">
        <v>48</v>
      </c>
    </row>
    <row r="77" spans="2:15" x14ac:dyDescent="0.3">
      <c r="G77" t="s">
        <v>53</v>
      </c>
      <c r="I77" s="10">
        <f>N56</f>
        <v>169.87496136840005</v>
      </c>
      <c r="K77" s="15" t="s">
        <v>26</v>
      </c>
      <c r="L77" s="16"/>
      <c r="M77" s="32">
        <f>(M73/M74)^(1/M75)-1</f>
        <v>0.18160955749112939</v>
      </c>
      <c r="O77" t="s">
        <v>48</v>
      </c>
    </row>
    <row r="78" spans="2:15" ht="15" thickBot="1" x14ac:dyDescent="0.35">
      <c r="G78" t="s">
        <v>5</v>
      </c>
      <c r="I78" s="10">
        <f>I76-I77</f>
        <v>330.12503863159998</v>
      </c>
      <c r="K78" s="17" t="s">
        <v>27</v>
      </c>
      <c r="L78" s="18"/>
      <c r="M78" s="33">
        <f>M73/M74</f>
        <v>2.3034032518611665</v>
      </c>
    </row>
    <row r="79" spans="2:15" x14ac:dyDescent="0.3">
      <c r="G79" s="1" t="s">
        <v>79</v>
      </c>
      <c r="H79" s="1"/>
      <c r="I79" s="12">
        <f>I75-I78</f>
        <v>949.0021397668005</v>
      </c>
      <c r="O79" t="s">
        <v>48</v>
      </c>
    </row>
    <row r="80" spans="2:15" x14ac:dyDescent="0.3">
      <c r="O80" t="s">
        <v>48</v>
      </c>
    </row>
    <row r="81" spans="2:15" x14ac:dyDescent="0.3">
      <c r="O81" t="s">
        <v>48</v>
      </c>
    </row>
    <row r="82" spans="2:15" x14ac:dyDescent="0.3">
      <c r="D82" s="11">
        <f>I79-M74</f>
        <v>537.0021397668005</v>
      </c>
      <c r="O82" t="s">
        <v>48</v>
      </c>
    </row>
    <row r="83" spans="2:15" x14ac:dyDescent="0.3">
      <c r="O83" t="s">
        <v>48</v>
      </c>
    </row>
    <row r="84" spans="2:15" x14ac:dyDescent="0.3">
      <c r="O84" t="s">
        <v>48</v>
      </c>
    </row>
    <row r="85" spans="2:15" x14ac:dyDescent="0.3">
      <c r="O85" t="s">
        <v>48</v>
      </c>
    </row>
    <row r="86" spans="2:15" x14ac:dyDescent="0.3">
      <c r="O86" t="s">
        <v>48</v>
      </c>
    </row>
    <row r="87" spans="2:15" x14ac:dyDescent="0.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t="s">
        <v>48</v>
      </c>
    </row>
    <row r="88" spans="2:15" x14ac:dyDescent="0.3">
      <c r="O88" t="s">
        <v>48</v>
      </c>
    </row>
    <row r="89" spans="2:15" x14ac:dyDescent="0.3">
      <c r="O89" t="s">
        <v>48</v>
      </c>
    </row>
    <row r="90" spans="2:15" x14ac:dyDescent="0.3">
      <c r="O90" t="s">
        <v>48</v>
      </c>
    </row>
    <row r="91" spans="2:15" x14ac:dyDescent="0.3">
      <c r="O91" t="s">
        <v>48</v>
      </c>
    </row>
    <row r="92" spans="2:15" x14ac:dyDescent="0.3">
      <c r="O92" t="s">
        <v>48</v>
      </c>
    </row>
    <row r="93" spans="2:15" x14ac:dyDescent="0.3">
      <c r="O93" t="s">
        <v>48</v>
      </c>
    </row>
    <row r="94" spans="2:15" x14ac:dyDescent="0.3">
      <c r="O94" t="s">
        <v>48</v>
      </c>
    </row>
    <row r="95" spans="2:15" x14ac:dyDescent="0.3">
      <c r="O95" t="s">
        <v>48</v>
      </c>
    </row>
    <row r="96" spans="2:15" x14ac:dyDescent="0.3">
      <c r="O96" t="s">
        <v>48</v>
      </c>
    </row>
    <row r="97" spans="15:15" x14ac:dyDescent="0.3">
      <c r="O97" t="s">
        <v>48</v>
      </c>
    </row>
    <row r="98" spans="15:15" x14ac:dyDescent="0.3">
      <c r="O98" t="s">
        <v>48</v>
      </c>
    </row>
    <row r="99" spans="15:15" x14ac:dyDescent="0.3">
      <c r="O99" t="s">
        <v>48</v>
      </c>
    </row>
    <row r="100" spans="15:15" x14ac:dyDescent="0.3">
      <c r="O100" t="s">
        <v>48</v>
      </c>
    </row>
    <row r="101" spans="15:15" x14ac:dyDescent="0.3">
      <c r="O101" t="s">
        <v>48</v>
      </c>
    </row>
    <row r="102" spans="15:15" x14ac:dyDescent="0.3">
      <c r="O102" t="s">
        <v>48</v>
      </c>
    </row>
    <row r="103" spans="15:15" x14ac:dyDescent="0.3">
      <c r="O103" t="s">
        <v>48</v>
      </c>
    </row>
    <row r="104" spans="15:15" x14ac:dyDescent="0.3">
      <c r="O104" t="s">
        <v>48</v>
      </c>
    </row>
    <row r="105" spans="15:15" x14ac:dyDescent="0.3">
      <c r="O105" t="s">
        <v>48</v>
      </c>
    </row>
    <row r="106" spans="15:15" x14ac:dyDescent="0.3">
      <c r="O106" t="s">
        <v>48</v>
      </c>
    </row>
    <row r="107" spans="15:15" x14ac:dyDescent="0.3">
      <c r="O107" t="s">
        <v>48</v>
      </c>
    </row>
    <row r="108" spans="15:15" x14ac:dyDescent="0.3">
      <c r="O108" t="s">
        <v>48</v>
      </c>
    </row>
    <row r="109" spans="15:15" x14ac:dyDescent="0.3">
      <c r="O109" t="s">
        <v>48</v>
      </c>
    </row>
    <row r="110" spans="15:15" x14ac:dyDescent="0.3">
      <c r="O110" t="s">
        <v>48</v>
      </c>
    </row>
    <row r="111" spans="15:15" x14ac:dyDescent="0.3">
      <c r="O111" t="s">
        <v>48</v>
      </c>
    </row>
    <row r="112" spans="15:15" x14ac:dyDescent="0.3">
      <c r="O112" t="s">
        <v>48</v>
      </c>
    </row>
    <row r="113" spans="15:15" x14ac:dyDescent="0.3">
      <c r="O113" t="s">
        <v>48</v>
      </c>
    </row>
    <row r="114" spans="15:15" x14ac:dyDescent="0.3">
      <c r="O114" t="s">
        <v>48</v>
      </c>
    </row>
    <row r="115" spans="15:15" x14ac:dyDescent="0.3">
      <c r="O115" t="s">
        <v>48</v>
      </c>
    </row>
    <row r="116" spans="15:15" x14ac:dyDescent="0.3">
      <c r="O116" t="s">
        <v>48</v>
      </c>
    </row>
    <row r="117" spans="15:15" x14ac:dyDescent="0.3">
      <c r="O117" t="s">
        <v>48</v>
      </c>
    </row>
    <row r="118" spans="15:15" x14ac:dyDescent="0.3">
      <c r="O118" t="s">
        <v>48</v>
      </c>
    </row>
    <row r="119" spans="15:15" x14ac:dyDescent="0.3">
      <c r="O119" t="s">
        <v>48</v>
      </c>
    </row>
    <row r="120" spans="15:15" x14ac:dyDescent="0.3">
      <c r="O120" t="s">
        <v>48</v>
      </c>
    </row>
    <row r="121" spans="15:15" x14ac:dyDescent="0.3">
      <c r="O121" t="s">
        <v>48</v>
      </c>
    </row>
    <row r="122" spans="15:15" x14ac:dyDescent="0.3">
      <c r="O122" t="s">
        <v>48</v>
      </c>
    </row>
    <row r="123" spans="15:15" x14ac:dyDescent="0.3">
      <c r="O123" t="s">
        <v>48</v>
      </c>
    </row>
    <row r="124" spans="15:15" x14ac:dyDescent="0.3">
      <c r="O124" t="s">
        <v>48</v>
      </c>
    </row>
    <row r="125" spans="15:15" x14ac:dyDescent="0.3">
      <c r="O125" t="s">
        <v>48</v>
      </c>
    </row>
    <row r="126" spans="15:15" x14ac:dyDescent="0.3">
      <c r="O126" t="s">
        <v>48</v>
      </c>
    </row>
    <row r="127" spans="15:15" x14ac:dyDescent="0.3">
      <c r="O127" t="s">
        <v>48</v>
      </c>
    </row>
    <row r="128" spans="15:15" x14ac:dyDescent="0.3">
      <c r="O128" t="s">
        <v>48</v>
      </c>
    </row>
    <row r="129" spans="15:15" x14ac:dyDescent="0.3">
      <c r="O129" t="s">
        <v>48</v>
      </c>
    </row>
    <row r="130" spans="15:15" x14ac:dyDescent="0.3">
      <c r="O130" t="s">
        <v>48</v>
      </c>
    </row>
    <row r="131" spans="15:15" x14ac:dyDescent="0.3">
      <c r="O131" t="s">
        <v>48</v>
      </c>
    </row>
    <row r="132" spans="15:15" x14ac:dyDescent="0.3">
      <c r="O132" t="s">
        <v>48</v>
      </c>
    </row>
    <row r="133" spans="15:15" x14ac:dyDescent="0.3">
      <c r="O133" t="s">
        <v>48</v>
      </c>
    </row>
    <row r="134" spans="15:15" x14ac:dyDescent="0.3">
      <c r="O134" t="s">
        <v>48</v>
      </c>
    </row>
    <row r="135" spans="15:15" x14ac:dyDescent="0.3">
      <c r="O135" t="s">
        <v>48</v>
      </c>
    </row>
    <row r="136" spans="15:15" x14ac:dyDescent="0.3">
      <c r="O136" t="s">
        <v>48</v>
      </c>
    </row>
    <row r="137" spans="15:15" x14ac:dyDescent="0.3">
      <c r="O137" t="s">
        <v>48</v>
      </c>
    </row>
    <row r="138" spans="15:15" x14ac:dyDescent="0.3">
      <c r="O138" t="s">
        <v>48</v>
      </c>
    </row>
    <row r="139" spans="15:15" x14ac:dyDescent="0.3">
      <c r="O139" t="s">
        <v>48</v>
      </c>
    </row>
    <row r="140" spans="15:15" x14ac:dyDescent="0.3">
      <c r="O140" t="s">
        <v>48</v>
      </c>
    </row>
    <row r="141" spans="15:15" x14ac:dyDescent="0.3">
      <c r="O141" t="s">
        <v>48</v>
      </c>
    </row>
  </sheetData>
  <pageMargins left="0.7" right="0.7" top="0.75" bottom="0.75" header="0.3" footer="0.3"/>
  <drawing r:id="rId1"/>
  <legacyDrawing r:id="rId2"/>
</worksheet>
</file>

<file path=docMetadata/LabelInfo.xml><?xml version="1.0" encoding="utf-8"?>
<clbl:labelList xmlns:clbl="http://schemas.microsoft.com/office/2020/mipLabelMetadata">
  <clbl:label id="{5567eafd-e777-42a5-91bb-9440fd43b893}" enabled="0" method="" siteId="{5567eafd-e777-42a5-91bb-9440fd43b8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Accounting Equation</vt:lpstr>
      <vt:lpstr>2. EV vs. Equity Value</vt:lpstr>
      <vt:lpstr>3. NPV</vt:lpstr>
      <vt:lpstr>4. Lemon Grove LBO Case 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Tejjas Kumar</dc:creator>
  <cp:lastModifiedBy>Kumar4,T (ug)</cp:lastModifiedBy>
  <dcterms:created xsi:type="dcterms:W3CDTF">2015-06-05T18:19:34Z</dcterms:created>
  <dcterms:modified xsi:type="dcterms:W3CDTF">2026-10-20T10:44:22Z</dcterms:modified>
</cp:coreProperties>
</file>