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7.xml" ContentType="application/vnd.openxmlformats-officedocument.drawingml.chartshapes+xml"/>
  <Override PartName="/xl/comments5.xml" ContentType="application/vnd.openxmlformats-officedocument.spreadsheetml.comments+xml"/>
  <Override PartName="/xl/drawings/drawing8.xml" ContentType="application/vnd.openxmlformats-officedocument.drawing+xml"/>
  <Override PartName="/xl/ctrlProps/ctrlProp1.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lsecloud-my.sharepoint.com/personal/h_yu30_lse_ac_uk/Documents/PES 25-26/PES Research 25-26/Workshop/Model Examples/"/>
    </mc:Choice>
  </mc:AlternateContent>
  <xr:revisionPtr revIDLastSave="4531" documentId="11_AD4DB114E441178AC67DF4B646D5DAE4693EDF1A" xr6:coauthVersionLast="47" xr6:coauthVersionMax="47" xr10:uidLastSave="{F168B7DD-4CEB-4E99-9E69-108499C7A539}"/>
  <bookViews>
    <workbookView xWindow="2304" yWindow="2304" windowWidth="17280" windowHeight="9960" xr2:uid="{00000000-000D-0000-FFFF-FFFF00000000}"/>
  </bookViews>
  <sheets>
    <sheet name="1.0 Lemon Grove Case Study Ans" sheetId="13" r:id="rId1"/>
    <sheet name="1.1 Lemon Grove Circularity" sheetId="12" r:id="rId2"/>
    <sheet name="FS Cover" sheetId="5" r:id="rId3"/>
    <sheet name="FS Outputs" sheetId="2" r:id="rId4"/>
    <sheet name="FS Transaction Details" sheetId="4" r:id="rId5"/>
    <sheet name="FS Drivers and Inputs" sheetId="3" r:id="rId6"/>
    <sheet name="FS Model" sheetId="10" r:id="rId7"/>
    <sheet name="Income Statement" sheetId="7" state="hidden" r:id="rId8"/>
    <sheet name="Cash Flow" sheetId="8" state="hidden" r:id="rId9"/>
    <sheet name="Balance Sheet" sheetId="9" state="hidden" r:id="rId10"/>
  </sheet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12" l="1"/>
  <c r="K37" i="12" s="1"/>
  <c r="I74" i="13"/>
  <c r="N64" i="13"/>
  <c r="N65" i="13" s="1"/>
  <c r="N39" i="13" s="1"/>
  <c r="M64" i="13"/>
  <c r="M65" i="13" s="1"/>
  <c r="M39" i="13" s="1"/>
  <c r="L64" i="13"/>
  <c r="L65" i="13" s="1"/>
  <c r="L39" i="13" s="1"/>
  <c r="K64" i="13"/>
  <c r="K65" i="13" s="1"/>
  <c r="K39" i="13" s="1"/>
  <c r="J64" i="13"/>
  <c r="J65" i="13" s="1"/>
  <c r="J39" i="13" s="1"/>
  <c r="J63" i="13"/>
  <c r="K63" i="13" s="1"/>
  <c r="L63" i="13" s="1"/>
  <c r="M63" i="13" s="1"/>
  <c r="N63" i="13" s="1"/>
  <c r="J60" i="13"/>
  <c r="K49" i="13"/>
  <c r="L49" i="13" s="1"/>
  <c r="M49" i="13" s="1"/>
  <c r="N49" i="13" s="1"/>
  <c r="M75" i="13" s="1"/>
  <c r="J49" i="13"/>
  <c r="E42" i="13"/>
  <c r="N35" i="13"/>
  <c r="M35" i="13"/>
  <c r="L35" i="13"/>
  <c r="K35" i="13"/>
  <c r="K34" i="13" s="1"/>
  <c r="J35" i="13"/>
  <c r="J34" i="13" s="1"/>
  <c r="N32" i="13"/>
  <c r="M32" i="13"/>
  <c r="L32" i="13"/>
  <c r="K32" i="13"/>
  <c r="J32" i="13"/>
  <c r="J31" i="13"/>
  <c r="I31" i="13"/>
  <c r="N29" i="13"/>
  <c r="M29" i="13"/>
  <c r="L29" i="13"/>
  <c r="K29" i="13"/>
  <c r="J29" i="13"/>
  <c r="J28" i="13"/>
  <c r="K28" i="13" s="1"/>
  <c r="J26" i="13"/>
  <c r="K26" i="13" s="1"/>
  <c r="L26" i="13" s="1"/>
  <c r="M26" i="13" s="1"/>
  <c r="N26" i="13" s="1"/>
  <c r="D15" i="13"/>
  <c r="D12" i="13"/>
  <c r="D16" i="13" s="1"/>
  <c r="M7" i="13" s="1"/>
  <c r="M9" i="13" s="1"/>
  <c r="H10" i="13" s="1"/>
  <c r="H9" i="13" s="1"/>
  <c r="M8" i="13"/>
  <c r="I8" i="13"/>
  <c r="H7" i="13"/>
  <c r="I7" i="13" s="1"/>
  <c r="L37" i="12" l="1"/>
  <c r="M74" i="13"/>
  <c r="I9" i="13"/>
  <c r="I10" i="13" s="1"/>
  <c r="J52" i="13"/>
  <c r="J37" i="13"/>
  <c r="J41" i="13" s="1"/>
  <c r="K52" i="13"/>
  <c r="K53" i="13"/>
  <c r="L28" i="13"/>
  <c r="K31" i="13"/>
  <c r="K37" i="13" s="1"/>
  <c r="K41" i="13" s="1"/>
  <c r="K60" i="13"/>
  <c r="K61" i="13"/>
  <c r="K54" i="13" s="1"/>
  <c r="I76" i="13"/>
  <c r="J53" i="13"/>
  <c r="J61" i="13"/>
  <c r="J54" i="13" s="1"/>
  <c r="M37" i="12" l="1"/>
  <c r="K43" i="13"/>
  <c r="K44" i="13" s="1"/>
  <c r="K51" i="13" s="1"/>
  <c r="K55" i="13" s="1"/>
  <c r="J44" i="13"/>
  <c r="J51" i="13" s="1"/>
  <c r="J55" i="13" s="1"/>
  <c r="J56" i="13" s="1"/>
  <c r="L61" i="13"/>
  <c r="L54" i="13" s="1"/>
  <c r="L60" i="13"/>
  <c r="L31" i="13"/>
  <c r="L53" i="13"/>
  <c r="M28" i="13"/>
  <c r="L34" i="13"/>
  <c r="J43" i="13"/>
  <c r="N37" i="12" l="1"/>
  <c r="K56" i="13"/>
  <c r="L37" i="13"/>
  <c r="L41" i="13" s="1"/>
  <c r="L52" i="13"/>
  <c r="M60" i="13"/>
  <c r="M53" i="13"/>
  <c r="N28" i="13"/>
  <c r="M31" i="13"/>
  <c r="M34" i="13"/>
  <c r="M61" i="13"/>
  <c r="M54" i="13" s="1"/>
  <c r="M52" i="13" l="1"/>
  <c r="M37" i="13"/>
  <c r="M41" i="13" s="1"/>
  <c r="N60" i="13"/>
  <c r="N53" i="13"/>
  <c r="N31" i="13"/>
  <c r="N34" i="13"/>
  <c r="N61" i="13"/>
  <c r="N54" i="13" s="1"/>
  <c r="L43" i="13"/>
  <c r="L44" i="13" s="1"/>
  <c r="L51" i="13" s="1"/>
  <c r="L55" i="13" s="1"/>
  <c r="L56" i="13" s="1"/>
  <c r="N52" i="13" l="1"/>
  <c r="N37" i="13"/>
  <c r="N41" i="13" s="1"/>
  <c r="D73" i="13"/>
  <c r="D74" i="13"/>
  <c r="I73" i="13"/>
  <c r="I75" i="13" s="1"/>
  <c r="M43" i="13"/>
  <c r="M44" i="13" s="1"/>
  <c r="M51" i="13" s="1"/>
  <c r="M55" i="13" s="1"/>
  <c r="M56" i="13" s="1"/>
  <c r="N44" i="13" l="1"/>
  <c r="N51" i="13" s="1"/>
  <c r="N55" i="13" s="1"/>
  <c r="N56" i="13" s="1"/>
  <c r="N43" i="13"/>
  <c r="D75" i="13" l="1"/>
  <c r="I77" i="13"/>
  <c r="I78" i="13" s="1"/>
  <c r="I79" i="13" s="1"/>
  <c r="N67" i="13"/>
  <c r="M73" i="13" l="1"/>
  <c r="D76" i="13"/>
  <c r="E76" i="13" l="1"/>
  <c r="E74" i="13"/>
  <c r="E73" i="13"/>
  <c r="E75" i="13"/>
  <c r="D78" i="13"/>
  <c r="M78" i="13"/>
  <c r="M16" i="13" s="1"/>
  <c r="M77" i="13"/>
  <c r="M15" i="13" s="1"/>
  <c r="K4" i="12" l="1"/>
  <c r="L4" i="12" s="1"/>
  <c r="M4" i="12" s="1"/>
  <c r="N4" i="12" s="1"/>
  <c r="J4" i="12"/>
  <c r="J11" i="12"/>
  <c r="J24" i="12" s="1"/>
  <c r="K11" i="12"/>
  <c r="K24" i="12" s="1"/>
  <c r="L11" i="12"/>
  <c r="L24" i="12" s="1"/>
  <c r="M11" i="12"/>
  <c r="M24" i="12" s="1"/>
  <c r="N11" i="12"/>
  <c r="N24" i="12" s="1"/>
  <c r="I11" i="12"/>
  <c r="I24" i="12" s="1"/>
  <c r="N8" i="12"/>
  <c r="M8" i="12"/>
  <c r="L8" i="12"/>
  <c r="K8" i="12"/>
  <c r="J8" i="12"/>
  <c r="I8" i="12"/>
  <c r="N7" i="12"/>
  <c r="M7" i="12"/>
  <c r="L7" i="12"/>
  <c r="K7" i="12"/>
  <c r="J7" i="12"/>
  <c r="I7" i="12"/>
  <c r="I117" i="12"/>
  <c r="N109" i="12"/>
  <c r="M109" i="12"/>
  <c r="L109" i="12"/>
  <c r="K109" i="12"/>
  <c r="J109" i="12"/>
  <c r="J105" i="12"/>
  <c r="J89" i="12"/>
  <c r="K89" i="12" s="1"/>
  <c r="L89" i="12" s="1"/>
  <c r="M89" i="12" s="1"/>
  <c r="N89" i="12" s="1"/>
  <c r="M118" i="12" s="1"/>
  <c r="E82" i="12"/>
  <c r="N75" i="12"/>
  <c r="M75" i="12"/>
  <c r="L75" i="12"/>
  <c r="K75" i="12"/>
  <c r="J75" i="12"/>
  <c r="N72" i="12"/>
  <c r="M72" i="12"/>
  <c r="L72" i="12"/>
  <c r="K72" i="12"/>
  <c r="J72" i="12"/>
  <c r="I71" i="12"/>
  <c r="N69" i="12"/>
  <c r="M69" i="12"/>
  <c r="L69" i="12"/>
  <c r="K69" i="12"/>
  <c r="J69" i="12"/>
  <c r="J68" i="12" s="1"/>
  <c r="J66" i="12"/>
  <c r="K66" i="12" s="1"/>
  <c r="L66" i="12" s="1"/>
  <c r="M66" i="12" s="1"/>
  <c r="N66" i="12" s="1"/>
  <c r="D55" i="12"/>
  <c r="D52" i="12"/>
  <c r="M48" i="12"/>
  <c r="I48" i="12"/>
  <c r="H47" i="12"/>
  <c r="I47" i="12" s="1"/>
  <c r="J9" i="12" l="1"/>
  <c r="J13" i="12" s="1"/>
  <c r="K9" i="12"/>
  <c r="K13" i="12" s="1"/>
  <c r="L9" i="12"/>
  <c r="L13" i="12" s="1"/>
  <c r="M9" i="12"/>
  <c r="M13" i="12" s="1"/>
  <c r="N9" i="12"/>
  <c r="N13" i="12" s="1"/>
  <c r="I9" i="12"/>
  <c r="I13" i="12" s="1"/>
  <c r="D56" i="12"/>
  <c r="M47" i="12" s="1"/>
  <c r="M49" i="12" s="1"/>
  <c r="H50" i="12" s="1"/>
  <c r="H49" i="12" s="1"/>
  <c r="M117" i="12" s="1"/>
  <c r="J93" i="12"/>
  <c r="J74" i="12"/>
  <c r="J71" i="12"/>
  <c r="J100" i="12"/>
  <c r="K68" i="12"/>
  <c r="K74" i="12" s="1"/>
  <c r="I49" i="12" l="1"/>
  <c r="I50" i="12" s="1"/>
  <c r="K93" i="12"/>
  <c r="K71" i="12"/>
  <c r="K77" i="12" s="1"/>
  <c r="K100" i="12"/>
  <c r="K101" i="12" s="1"/>
  <c r="K94" i="12" s="1"/>
  <c r="L68" i="12"/>
  <c r="J101" i="12"/>
  <c r="J94" i="12" s="1"/>
  <c r="J92" i="12"/>
  <c r="J77" i="12"/>
  <c r="K92" i="12"/>
  <c r="L93" i="12" l="1"/>
  <c r="L100" i="12"/>
  <c r="L101" i="12" s="1"/>
  <c r="L94" i="12" s="1"/>
  <c r="L71" i="12"/>
  <c r="M68" i="12"/>
  <c r="L74" i="12"/>
  <c r="L92" i="12" l="1"/>
  <c r="L77" i="12"/>
  <c r="M71" i="12"/>
  <c r="M93" i="12"/>
  <c r="M100" i="12"/>
  <c r="M101" i="12" s="1"/>
  <c r="M94" i="12" s="1"/>
  <c r="M74" i="12"/>
  <c r="N68" i="12"/>
  <c r="N93" i="12" l="1"/>
  <c r="N71" i="12"/>
  <c r="N100" i="12"/>
  <c r="N101" i="12" s="1"/>
  <c r="N94" i="12" s="1"/>
  <c r="N74" i="12"/>
  <c r="M92" i="12"/>
  <c r="M77" i="12"/>
  <c r="N92" i="12" l="1"/>
  <c r="N77" i="12"/>
  <c r="D117" i="12"/>
  <c r="I116" i="12"/>
  <c r="I118" i="12" s="1"/>
  <c r="D116" i="12"/>
  <c r="M19" i="3" l="1"/>
  <c r="J19" i="3"/>
  <c r="K19" i="3"/>
  <c r="L19" i="3"/>
  <c r="O18" i="3"/>
  <c r="J27" i="10"/>
  <c r="J25" i="10"/>
  <c r="I9" i="10"/>
  <c r="K326" i="10"/>
  <c r="Z64" i="2"/>
  <c r="T64" i="2"/>
  <c r="K37" i="9" l="1"/>
  <c r="K38" i="9" s="1"/>
  <c r="K35" i="9"/>
  <c r="K34" i="9" s="1"/>
  <c r="N33" i="9"/>
  <c r="L33" i="9"/>
  <c r="K33" i="9"/>
  <c r="I5" i="7"/>
  <c r="J5" i="7" s="1"/>
  <c r="K5" i="7" s="1"/>
  <c r="L5" i="7" s="1"/>
  <c r="M5" i="7" s="1"/>
  <c r="N5" i="7" s="1"/>
  <c r="Q21" i="7"/>
  <c r="S20" i="7"/>
  <c r="I80" i="3" l="1"/>
  <c r="J80" i="3" s="1"/>
  <c r="K80" i="3" s="1"/>
  <c r="L80" i="3" s="1"/>
  <c r="M80" i="3" s="1"/>
  <c r="N80" i="3" s="1"/>
  <c r="O80" i="3" s="1"/>
  <c r="D69" i="2"/>
  <c r="U70" i="2" l="1"/>
  <c r="Z63" i="2"/>
  <c r="V63" i="2"/>
  <c r="U63" i="2"/>
  <c r="T63" i="2"/>
  <c r="B82" i="2"/>
  <c r="B83" i="2" s="1"/>
  <c r="B80" i="2"/>
  <c r="B79" i="2" s="1"/>
  <c r="F78" i="2"/>
  <c r="G78" i="2" s="1"/>
  <c r="D78" i="2"/>
  <c r="C78" i="2" s="1"/>
  <c r="S88" i="2"/>
  <c r="J10" i="4" s="1"/>
  <c r="S87" i="2"/>
  <c r="J9" i="4" s="1"/>
  <c r="D71" i="2"/>
  <c r="D72" i="2" s="1"/>
  <c r="D68" i="2"/>
  <c r="S86" i="2"/>
  <c r="L43" i="3" l="1"/>
  <c r="T69" i="2"/>
  <c r="Q79" i="2"/>
  <c r="Q80" i="2" s="1"/>
  <c r="Q81" i="2" s="1"/>
  <c r="Q82" i="2" s="1"/>
  <c r="J31" i="2"/>
  <c r="K31" i="2" s="1"/>
  <c r="L31" i="2" s="1"/>
  <c r="M31" i="2" s="1"/>
  <c r="N31" i="2" s="1"/>
  <c r="D16" i="2"/>
  <c r="D17" i="2"/>
  <c r="I11" i="2"/>
  <c r="I10" i="2"/>
  <c r="I9" i="2"/>
  <c r="I8" i="2"/>
  <c r="H12" i="2"/>
  <c r="D18" i="2"/>
  <c r="D9" i="2"/>
  <c r="D8" i="2"/>
  <c r="J72" i="3"/>
  <c r="J74" i="3"/>
  <c r="K74" i="3" s="1"/>
  <c r="L74" i="3" s="1"/>
  <c r="M74" i="3" s="1"/>
  <c r="N74" i="3" s="1"/>
  <c r="J63" i="3"/>
  <c r="K63" i="3" s="1"/>
  <c r="L63" i="3" s="1"/>
  <c r="M63" i="3" s="1"/>
  <c r="N63" i="3" s="1"/>
  <c r="I25" i="4"/>
  <c r="F322" i="10" s="1"/>
  <c r="J322" i="10" s="1"/>
  <c r="J256" i="10"/>
  <c r="C22" i="4"/>
  <c r="D19" i="2" s="1"/>
  <c r="P339" i="10"/>
  <c r="O339" i="10"/>
  <c r="N339" i="10"/>
  <c r="M339" i="10"/>
  <c r="L339" i="10"/>
  <c r="K339" i="10"/>
  <c r="K322" i="10"/>
  <c r="L322" i="10" s="1"/>
  <c r="M322" i="10" s="1"/>
  <c r="N322" i="10" s="1"/>
  <c r="O322" i="10" s="1"/>
  <c r="P322" i="10" s="1"/>
  <c r="B343" i="10"/>
  <c r="L341" i="10"/>
  <c r="M341" i="10" s="1"/>
  <c r="N341" i="10" s="1"/>
  <c r="O341" i="10" s="1"/>
  <c r="P341" i="10" s="1"/>
  <c r="J341" i="10"/>
  <c r="J67" i="3"/>
  <c r="K256" i="10" s="1"/>
  <c r="K14" i="3"/>
  <c r="L14" i="3" s="1"/>
  <c r="M14" i="3" s="1"/>
  <c r="N14" i="3" s="1"/>
  <c r="K159" i="10"/>
  <c r="J48" i="3"/>
  <c r="K48" i="3" s="1"/>
  <c r="L80" i="10"/>
  <c r="M80" i="10"/>
  <c r="N80" i="10"/>
  <c r="O80" i="10"/>
  <c r="P80" i="10"/>
  <c r="K80" i="10"/>
  <c r="L283" i="10"/>
  <c r="M283" i="10"/>
  <c r="N283" i="10"/>
  <c r="O283" i="10"/>
  <c r="P283" i="10"/>
  <c r="K265" i="10"/>
  <c r="K76" i="10" s="1"/>
  <c r="L265" i="10"/>
  <c r="L76" i="10" s="1"/>
  <c r="M265" i="10"/>
  <c r="M76" i="10" s="1"/>
  <c r="N265" i="10"/>
  <c r="N76" i="10" s="1"/>
  <c r="O265" i="10"/>
  <c r="O76" i="10" s="1"/>
  <c r="P265" i="10"/>
  <c r="P76" i="10" s="1"/>
  <c r="J65" i="10"/>
  <c r="P252" i="10"/>
  <c r="O252" i="10"/>
  <c r="N252" i="10"/>
  <c r="M252" i="10"/>
  <c r="L252" i="10"/>
  <c r="K252" i="10"/>
  <c r="J252" i="10"/>
  <c r="P234" i="10"/>
  <c r="P233" i="10" s="1"/>
  <c r="P235" i="10" s="1"/>
  <c r="O234" i="10"/>
  <c r="O233" i="10" s="1"/>
  <c r="O235" i="10" s="1"/>
  <c r="N234" i="10"/>
  <c r="N233" i="10" s="1"/>
  <c r="N235" i="10" s="1"/>
  <c r="M234" i="10"/>
  <c r="M233" i="10" s="1"/>
  <c r="M235" i="10" s="1"/>
  <c r="L234" i="10"/>
  <c r="L233" i="10" s="1"/>
  <c r="L235" i="10" s="1"/>
  <c r="K234" i="10"/>
  <c r="K233" i="10" s="1"/>
  <c r="K235" i="10" s="1"/>
  <c r="G215" i="10"/>
  <c r="P209" i="10"/>
  <c r="O209" i="10"/>
  <c r="N209" i="10"/>
  <c r="M209" i="10"/>
  <c r="L209" i="10"/>
  <c r="K209" i="10"/>
  <c r="M43" i="3" l="1"/>
  <c r="W63" i="2"/>
  <c r="K67" i="3"/>
  <c r="L48" i="3"/>
  <c r="M48" i="3" s="1"/>
  <c r="N48" i="3" s="1"/>
  <c r="M343" i="10"/>
  <c r="K343" i="10"/>
  <c r="L343" i="10"/>
  <c r="B344" i="10"/>
  <c r="K344" i="10" s="1"/>
  <c r="L342" i="10"/>
  <c r="M342" i="10"/>
  <c r="N342" i="10"/>
  <c r="K342" i="10"/>
  <c r="P194" i="10"/>
  <c r="O194" i="10"/>
  <c r="N194" i="10"/>
  <c r="M194" i="10"/>
  <c r="L194" i="10"/>
  <c r="K194" i="10"/>
  <c r="K183" i="10"/>
  <c r="P183" i="10"/>
  <c r="O183" i="10"/>
  <c r="N183" i="10"/>
  <c r="M183" i="10"/>
  <c r="L183" i="10"/>
  <c r="G181" i="10"/>
  <c r="P165" i="10"/>
  <c r="O165" i="10"/>
  <c r="N165" i="10"/>
  <c r="M165" i="10"/>
  <c r="L165" i="10"/>
  <c r="K165" i="10"/>
  <c r="K82" i="10"/>
  <c r="N43" i="3" l="1"/>
  <c r="Y63" i="2" s="1"/>
  <c r="X63" i="2"/>
  <c r="L256" i="10"/>
  <c r="L67" i="3"/>
  <c r="B345" i="10"/>
  <c r="L344" i="10"/>
  <c r="K164" i="10"/>
  <c r="K312" i="10"/>
  <c r="J145" i="10"/>
  <c r="J274" i="10" s="1"/>
  <c r="J279" i="10" s="1"/>
  <c r="H29" i="9"/>
  <c r="J86" i="10"/>
  <c r="J249" i="10" s="1"/>
  <c r="P82" i="10"/>
  <c r="O82" i="10"/>
  <c r="N82" i="10"/>
  <c r="M82" i="10"/>
  <c r="L82" i="10"/>
  <c r="P81" i="10"/>
  <c r="P305" i="10" s="1"/>
  <c r="O81" i="10"/>
  <c r="O305" i="10" s="1"/>
  <c r="N81" i="10"/>
  <c r="N305" i="10" s="1"/>
  <c r="M81" i="10"/>
  <c r="M305" i="10" s="1"/>
  <c r="L81" i="10"/>
  <c r="L305" i="10" s="1"/>
  <c r="K81" i="10"/>
  <c r="K305" i="10" s="1"/>
  <c r="J82" i="10"/>
  <c r="J81" i="10"/>
  <c r="J119" i="10"/>
  <c r="I119" i="10"/>
  <c r="H119" i="10"/>
  <c r="J118" i="10"/>
  <c r="I118" i="10"/>
  <c r="H118" i="10"/>
  <c r="J117" i="10"/>
  <c r="I117" i="10"/>
  <c r="H117" i="10"/>
  <c r="J116" i="10"/>
  <c r="I116" i="10"/>
  <c r="H116" i="10"/>
  <c r="J115" i="10"/>
  <c r="I115" i="10"/>
  <c r="H115" i="10"/>
  <c r="J114" i="10"/>
  <c r="I114" i="10"/>
  <c r="H114" i="10"/>
  <c r="H110" i="10"/>
  <c r="I110" i="10" s="1"/>
  <c r="J110" i="10" s="1"/>
  <c r="K110" i="10" s="1"/>
  <c r="L110" i="10" s="1"/>
  <c r="M110" i="10" s="1"/>
  <c r="N110" i="10" s="1"/>
  <c r="O110" i="10" s="1"/>
  <c r="P110" i="10" s="1"/>
  <c r="J108" i="10"/>
  <c r="K108" i="10" s="1"/>
  <c r="L108" i="10" s="1"/>
  <c r="M108" i="10" s="1"/>
  <c r="N108" i="10" s="1"/>
  <c r="O108" i="10" s="1"/>
  <c r="P108" i="10" s="1"/>
  <c r="J60" i="3"/>
  <c r="K60" i="3" s="1"/>
  <c r="L60" i="3" s="1"/>
  <c r="M60" i="3" s="1"/>
  <c r="N60" i="3" s="1"/>
  <c r="J99" i="10"/>
  <c r="K99" i="10"/>
  <c r="I59" i="3"/>
  <c r="AF174" i="3"/>
  <c r="AE174" i="3"/>
  <c r="AD174" i="3"/>
  <c r="AC174" i="3"/>
  <c r="AF172" i="3"/>
  <c r="AE172" i="3"/>
  <c r="H58" i="3" s="1"/>
  <c r="AD172" i="3"/>
  <c r="G58" i="3" s="1"/>
  <c r="AC172" i="3"/>
  <c r="AB172" i="3"/>
  <c r="AB174" i="3"/>
  <c r="I58" i="3"/>
  <c r="J98" i="10" s="1"/>
  <c r="H42" i="7"/>
  <c r="B34" i="7"/>
  <c r="F35" i="7"/>
  <c r="E35" i="7"/>
  <c r="D35" i="7"/>
  <c r="C35" i="7"/>
  <c r="B35" i="7"/>
  <c r="F55" i="10"/>
  <c r="H6" i="3"/>
  <c r="G6" i="3"/>
  <c r="M67" i="3" l="1"/>
  <c r="M256" i="10"/>
  <c r="B346" i="10"/>
  <c r="K345" i="10"/>
  <c r="L164" i="10"/>
  <c r="L312" i="10"/>
  <c r="M164" i="10"/>
  <c r="M312" i="10"/>
  <c r="N164" i="10"/>
  <c r="N312" i="10"/>
  <c r="O164" i="10"/>
  <c r="O312" i="10"/>
  <c r="P164" i="10"/>
  <c r="P312" i="10"/>
  <c r="M163" i="10"/>
  <c r="L163" i="10"/>
  <c r="K163" i="10"/>
  <c r="N163" i="10"/>
  <c r="P163" i="10"/>
  <c r="O163" i="10"/>
  <c r="P99" i="10"/>
  <c r="J144" i="10"/>
  <c r="J151" i="10"/>
  <c r="J283" i="10" s="1"/>
  <c r="J288" i="10" s="1"/>
  <c r="J291" i="10" s="1"/>
  <c r="J293" i="10" s="1"/>
  <c r="J51" i="10" s="1"/>
  <c r="K143" i="10"/>
  <c r="J140" i="10"/>
  <c r="I61" i="3"/>
  <c r="P30" i="10"/>
  <c r="P29" i="10"/>
  <c r="J30" i="10"/>
  <c r="J22" i="10" s="1"/>
  <c r="J29" i="10"/>
  <c r="J20" i="10" s="1"/>
  <c r="H15" i="10"/>
  <c r="H10" i="10"/>
  <c r="I10" i="10"/>
  <c r="I15" i="10"/>
  <c r="J4" i="10"/>
  <c r="O56" i="3"/>
  <c r="I56" i="3"/>
  <c r="O54" i="3"/>
  <c r="I54" i="3"/>
  <c r="I49" i="3"/>
  <c r="I47" i="3"/>
  <c r="O42" i="3"/>
  <c r="O44" i="3"/>
  <c r="I44" i="3"/>
  <c r="I42" i="3"/>
  <c r="O30" i="3"/>
  <c r="K30" i="3"/>
  <c r="J30" i="3"/>
  <c r="O32" i="3"/>
  <c r="K32" i="3"/>
  <c r="J32" i="3"/>
  <c r="I32" i="3"/>
  <c r="I30" i="3"/>
  <c r="O25" i="3"/>
  <c r="O27" i="3"/>
  <c r="I27" i="3"/>
  <c r="I25" i="3"/>
  <c r="O20" i="3"/>
  <c r="I20" i="3"/>
  <c r="I18" i="3"/>
  <c r="O15" i="3"/>
  <c r="J15" i="3"/>
  <c r="I15" i="3"/>
  <c r="O13" i="3"/>
  <c r="J13" i="3"/>
  <c r="I13" i="3"/>
  <c r="C94" i="3"/>
  <c r="C91" i="3"/>
  <c r="C88" i="3"/>
  <c r="C85" i="3"/>
  <c r="J82" i="3"/>
  <c r="U64" i="2" s="1"/>
  <c r="J71" i="3"/>
  <c r="J75" i="3"/>
  <c r="J73" i="3"/>
  <c r="J70" i="3"/>
  <c r="AK235" i="3"/>
  <c r="AJ235" i="3"/>
  <c r="AI235" i="3"/>
  <c r="AH235" i="3"/>
  <c r="AK234" i="3"/>
  <c r="AJ234" i="3"/>
  <c r="AI234" i="3"/>
  <c r="AH234" i="3"/>
  <c r="AK233" i="3"/>
  <c r="AJ233" i="3"/>
  <c r="AI233" i="3"/>
  <c r="AH233" i="3"/>
  <c r="AK232" i="3"/>
  <c r="AJ232" i="3"/>
  <c r="AI232" i="3"/>
  <c r="AH232" i="3"/>
  <c r="AK231" i="3"/>
  <c r="AJ231" i="3"/>
  <c r="AI231" i="3"/>
  <c r="AH231" i="3"/>
  <c r="AK230" i="3"/>
  <c r="AJ230" i="3"/>
  <c r="AI230" i="3"/>
  <c r="AH230" i="3"/>
  <c r="AG235" i="3"/>
  <c r="AG234" i="3"/>
  <c r="AH229" i="3"/>
  <c r="AI229" i="3" s="1"/>
  <c r="AJ229" i="3" s="1"/>
  <c r="AK229" i="3" s="1"/>
  <c r="AG233" i="3"/>
  <c r="AG230" i="3"/>
  <c r="AG231" i="3"/>
  <c r="AG232" i="3"/>
  <c r="AF173" i="3"/>
  <c r="AE173" i="3"/>
  <c r="AD173" i="3"/>
  <c r="AC173" i="3"/>
  <c r="AB173" i="3"/>
  <c r="H11" i="7" l="1"/>
  <c r="N67" i="3"/>
  <c r="N256" i="10"/>
  <c r="B347" i="10"/>
  <c r="K151" i="10"/>
  <c r="K283" i="10" s="1"/>
  <c r="C15" i="4"/>
  <c r="J265" i="10"/>
  <c r="K140" i="10"/>
  <c r="L140" i="10" s="1"/>
  <c r="M140" i="10" s="1"/>
  <c r="N140" i="10" s="1"/>
  <c r="O140" i="10" s="1"/>
  <c r="P140" i="10" s="1"/>
  <c r="J246" i="10"/>
  <c r="I8" i="10"/>
  <c r="L99" i="10"/>
  <c r="O99" i="10"/>
  <c r="N99" i="10"/>
  <c r="M99" i="10"/>
  <c r="L118" i="10"/>
  <c r="K118" i="10"/>
  <c r="K75" i="3"/>
  <c r="L119" i="10" s="1"/>
  <c r="K119" i="10"/>
  <c r="K72" i="3"/>
  <c r="K116" i="10"/>
  <c r="K70" i="3"/>
  <c r="K114" i="10"/>
  <c r="K73" i="3"/>
  <c r="L117" i="10" s="1"/>
  <c r="K117" i="10"/>
  <c r="K71" i="3"/>
  <c r="K115" i="10"/>
  <c r="K82" i="3"/>
  <c r="AL234" i="3"/>
  <c r="AL230" i="3"/>
  <c r="AL231" i="3"/>
  <c r="AL235" i="3"/>
  <c r="AL232" i="3"/>
  <c r="AL233" i="3"/>
  <c r="K4" i="10"/>
  <c r="J35" i="10"/>
  <c r="J61" i="10" s="1"/>
  <c r="J94" i="10" s="1"/>
  <c r="H8" i="10"/>
  <c r="H6" i="10" s="1"/>
  <c r="H37" i="10" s="1"/>
  <c r="H111" i="10" s="1"/>
  <c r="L82" i="3" l="1"/>
  <c r="V64" i="2"/>
  <c r="I6" i="10"/>
  <c r="L75" i="3"/>
  <c r="M75" i="3" s="1"/>
  <c r="N119" i="10" s="1"/>
  <c r="O256" i="10"/>
  <c r="O67" i="3"/>
  <c r="P256" i="10" s="1"/>
  <c r="J270" i="10"/>
  <c r="J76" i="10"/>
  <c r="J83" i="10" s="1"/>
  <c r="K246" i="10"/>
  <c r="L246" i="10" s="1"/>
  <c r="M246" i="10" s="1"/>
  <c r="N246" i="10" s="1"/>
  <c r="O246" i="10" s="1"/>
  <c r="P246" i="10" s="1"/>
  <c r="J261" i="10"/>
  <c r="K261" i="10" s="1"/>
  <c r="K300" i="10" s="1"/>
  <c r="L71" i="3"/>
  <c r="L115" i="10"/>
  <c r="L70" i="3"/>
  <c r="L114" i="10"/>
  <c r="M118" i="10"/>
  <c r="L73" i="3"/>
  <c r="M117" i="10" s="1"/>
  <c r="L72" i="3"/>
  <c r="L116" i="10"/>
  <c r="H125" i="10"/>
  <c r="H122" i="10"/>
  <c r="H126" i="10"/>
  <c r="H127" i="10"/>
  <c r="H38" i="10"/>
  <c r="H42" i="10"/>
  <c r="H41" i="10"/>
  <c r="L4" i="10"/>
  <c r="K35" i="10"/>
  <c r="K61" i="10" s="1"/>
  <c r="K94" i="10" s="1"/>
  <c r="K156" i="10" s="1"/>
  <c r="M82" i="3" l="1"/>
  <c r="W64" i="2"/>
  <c r="M119" i="10"/>
  <c r="I37" i="10"/>
  <c r="K319" i="10"/>
  <c r="L319" i="10" s="1"/>
  <c r="M319" i="10" s="1"/>
  <c r="N319" i="10" s="1"/>
  <c r="O319" i="10" s="1"/>
  <c r="P319" i="10" s="1"/>
  <c r="L300" i="10"/>
  <c r="M300" i="10" s="1"/>
  <c r="N300" i="10" s="1"/>
  <c r="O300" i="10" s="1"/>
  <c r="P300" i="10" s="1"/>
  <c r="L261" i="10"/>
  <c r="M261" i="10" s="1"/>
  <c r="N261" i="10" s="1"/>
  <c r="O261" i="10" s="1"/>
  <c r="P261" i="10" s="1"/>
  <c r="L156" i="10"/>
  <c r="M156" i="10" s="1"/>
  <c r="N156" i="10" s="1"/>
  <c r="O156" i="10" s="1"/>
  <c r="P156" i="10" s="1"/>
  <c r="K191" i="10"/>
  <c r="N75" i="3"/>
  <c r="O119" i="10" s="1"/>
  <c r="M72" i="3"/>
  <c r="M116" i="10"/>
  <c r="M73" i="3"/>
  <c r="N117" i="10" s="1"/>
  <c r="M114" i="10"/>
  <c r="M70" i="3"/>
  <c r="M71" i="3"/>
  <c r="M115" i="10"/>
  <c r="N118" i="10"/>
  <c r="H39" i="10"/>
  <c r="H44" i="10" s="1"/>
  <c r="H112" i="10"/>
  <c r="M4" i="10"/>
  <c r="L35" i="10"/>
  <c r="L61" i="10" s="1"/>
  <c r="L94" i="10" s="1"/>
  <c r="X64" i="2" l="1"/>
  <c r="N82" i="3"/>
  <c r="Y64" i="2" s="1"/>
  <c r="I111" i="10"/>
  <c r="I38" i="10"/>
  <c r="I42" i="10"/>
  <c r="I41" i="10"/>
  <c r="N73" i="3"/>
  <c r="O73" i="3" s="1"/>
  <c r="P117" i="10" s="1"/>
  <c r="H48" i="10"/>
  <c r="H53" i="10" s="1"/>
  <c r="H56" i="10" s="1"/>
  <c r="H45" i="10"/>
  <c r="K224" i="10"/>
  <c r="L224" i="10" s="1"/>
  <c r="M224" i="10" s="1"/>
  <c r="N224" i="10" s="1"/>
  <c r="O224" i="10" s="1"/>
  <c r="P224" i="10" s="1"/>
  <c r="K206" i="10"/>
  <c r="L206" i="10" s="1"/>
  <c r="M206" i="10" s="1"/>
  <c r="N206" i="10" s="1"/>
  <c r="O206" i="10" s="1"/>
  <c r="P206" i="10" s="1"/>
  <c r="L191" i="10"/>
  <c r="M191" i="10" s="1"/>
  <c r="N191" i="10" s="1"/>
  <c r="O191" i="10" s="1"/>
  <c r="P191" i="10" s="1"/>
  <c r="O75" i="3"/>
  <c r="P119" i="10" s="1"/>
  <c r="N71" i="3"/>
  <c r="N115" i="10"/>
  <c r="N70" i="3"/>
  <c r="N114" i="10"/>
  <c r="N72" i="3"/>
  <c r="N116" i="10"/>
  <c r="H124" i="10"/>
  <c r="H132" i="10" s="1"/>
  <c r="H123" i="10"/>
  <c r="H131" i="10" s="1"/>
  <c r="N4" i="10"/>
  <c r="M35" i="10"/>
  <c r="M61" i="10" s="1"/>
  <c r="M94" i="10" s="1"/>
  <c r="J65" i="3"/>
  <c r="K65" i="3" s="1"/>
  <c r="L65" i="3" s="1"/>
  <c r="M65" i="3" s="1"/>
  <c r="N65" i="3" s="1"/>
  <c r="AC171" i="3"/>
  <c r="AD171" i="3" s="1"/>
  <c r="AE171" i="3" s="1"/>
  <c r="AF171" i="3" s="1"/>
  <c r="O53" i="3"/>
  <c r="N7" i="7" s="1"/>
  <c r="I53" i="3"/>
  <c r="H7" i="7" s="1"/>
  <c r="J55" i="3"/>
  <c r="AC91" i="3"/>
  <c r="AD91" i="3"/>
  <c r="AE91" i="3"/>
  <c r="AF91" i="3"/>
  <c r="AB91" i="3"/>
  <c r="J51" i="3"/>
  <c r="K51" i="3" s="1"/>
  <c r="L51" i="3" s="1"/>
  <c r="M51" i="3" s="1"/>
  <c r="N51" i="3" s="1"/>
  <c r="O51" i="3" s="1"/>
  <c r="AF90" i="3"/>
  <c r="AE90" i="3"/>
  <c r="AD90" i="3"/>
  <c r="AC90" i="3"/>
  <c r="AB90" i="3"/>
  <c r="I46" i="3"/>
  <c r="AF89" i="3"/>
  <c r="AE89" i="3"/>
  <c r="AD89" i="3"/>
  <c r="AC89" i="3"/>
  <c r="AB89" i="3"/>
  <c r="AC88" i="3"/>
  <c r="AD88" i="3" s="1"/>
  <c r="AE88" i="3" s="1"/>
  <c r="AF88" i="3" s="1"/>
  <c r="O41" i="3"/>
  <c r="I41" i="3"/>
  <c r="O29" i="3"/>
  <c r="P28" i="10" s="1"/>
  <c r="K29" i="3"/>
  <c r="L28" i="10" s="1"/>
  <c r="J29" i="3"/>
  <c r="K28" i="10" s="1"/>
  <c r="I29" i="3"/>
  <c r="J28" i="10" s="1"/>
  <c r="J18" i="10" s="1"/>
  <c r="O24" i="3"/>
  <c r="P27" i="10" s="1"/>
  <c r="I24" i="3"/>
  <c r="J17" i="10" s="1"/>
  <c r="O17" i="3"/>
  <c r="P26" i="10" s="1"/>
  <c r="I17" i="3"/>
  <c r="I12" i="3"/>
  <c r="J12" i="10" s="1"/>
  <c r="J37" i="3"/>
  <c r="J35" i="3"/>
  <c r="J26" i="3"/>
  <c r="J17" i="3"/>
  <c r="K26" i="10" s="1"/>
  <c r="L31" i="3"/>
  <c r="J12" i="3"/>
  <c r="K25" i="10" s="1"/>
  <c r="AB35" i="3"/>
  <c r="AC35" i="3"/>
  <c r="AA35" i="3"/>
  <c r="AA33" i="3"/>
  <c r="AB33" i="3" s="1"/>
  <c r="AC33" i="3" s="1"/>
  <c r="J26" i="10" l="1"/>
  <c r="J13" i="10" s="1"/>
  <c r="O117" i="10"/>
  <c r="I39" i="10"/>
  <c r="I44" i="10" s="1"/>
  <c r="I112" i="10"/>
  <c r="I125" i="10"/>
  <c r="I127" i="10"/>
  <c r="I122" i="10"/>
  <c r="I126" i="10"/>
  <c r="O71" i="3"/>
  <c r="P115" i="10" s="1"/>
  <c r="O115" i="10"/>
  <c r="J15" i="10"/>
  <c r="P118" i="10"/>
  <c r="O118" i="10"/>
  <c r="O72" i="3"/>
  <c r="P116" i="10" s="1"/>
  <c r="O116" i="10"/>
  <c r="O114" i="10"/>
  <c r="O70" i="3"/>
  <c r="P114" i="10" s="1"/>
  <c r="H133" i="10"/>
  <c r="K13" i="10"/>
  <c r="K18" i="10"/>
  <c r="L18" i="10" s="1"/>
  <c r="K37" i="3"/>
  <c r="K30" i="10"/>
  <c r="K22" i="10" s="1"/>
  <c r="J46" i="3"/>
  <c r="J49" i="3"/>
  <c r="J47" i="3"/>
  <c r="J53" i="3"/>
  <c r="I7" i="7" s="1"/>
  <c r="J54" i="3"/>
  <c r="J56" i="3"/>
  <c r="K17" i="3"/>
  <c r="L26" i="10" s="1"/>
  <c r="J18" i="3"/>
  <c r="J20" i="3"/>
  <c r="J10" i="10"/>
  <c r="H9" i="7" s="1"/>
  <c r="M31" i="3"/>
  <c r="M29" i="3" s="1"/>
  <c r="N28" i="10" s="1"/>
  <c r="L30" i="3"/>
  <c r="L32" i="3"/>
  <c r="K12" i="10"/>
  <c r="J41" i="3"/>
  <c r="J44" i="3"/>
  <c r="J42" i="3"/>
  <c r="K26" i="3"/>
  <c r="L26" i="3" s="1"/>
  <c r="J27" i="3"/>
  <c r="J25" i="3"/>
  <c r="K35" i="3"/>
  <c r="K29" i="10"/>
  <c r="K20" i="10" s="1"/>
  <c r="I11" i="7" s="1"/>
  <c r="J59" i="3"/>
  <c r="J61" i="3"/>
  <c r="O4" i="10"/>
  <c r="N35" i="10"/>
  <c r="N61" i="10" s="1"/>
  <c r="N94" i="10" s="1"/>
  <c r="L29" i="3"/>
  <c r="M28" i="10" s="1"/>
  <c r="J58" i="3"/>
  <c r="K98" i="10" s="1"/>
  <c r="J24" i="3"/>
  <c r="K27" i="10" s="1"/>
  <c r="K17" i="10" s="1"/>
  <c r="K55" i="3"/>
  <c r="I4" i="3"/>
  <c r="G48" i="4"/>
  <c r="H48" i="4" s="1"/>
  <c r="I48" i="4" s="1"/>
  <c r="J48" i="4" s="1"/>
  <c r="K48" i="4" s="1"/>
  <c r="I26" i="4"/>
  <c r="J8" i="4"/>
  <c r="J9" i="2"/>
  <c r="J11" i="4"/>
  <c r="T64" i="3"/>
  <c r="N23" i="4"/>
  <c r="N8" i="4"/>
  <c r="N8" i="2" s="1"/>
  <c r="G57" i="9"/>
  <c r="C13" i="4"/>
  <c r="I22" i="3" l="1"/>
  <c r="H10" i="7"/>
  <c r="N7" i="4"/>
  <c r="D12" i="2"/>
  <c r="I123" i="10"/>
  <c r="I131" i="10" s="1"/>
  <c r="I124" i="10"/>
  <c r="I132" i="10" s="1"/>
  <c r="I48" i="10"/>
  <c r="I53" i="10" s="1"/>
  <c r="I56" i="10" s="1"/>
  <c r="I45" i="10"/>
  <c r="D41" i="4"/>
  <c r="K213" i="10" s="1"/>
  <c r="K214" i="10" s="1"/>
  <c r="J10" i="2"/>
  <c r="D42" i="4"/>
  <c r="H42" i="4" s="1"/>
  <c r="J11" i="2"/>
  <c r="D39" i="4"/>
  <c r="K169" i="10" s="1"/>
  <c r="K179" i="10" s="1"/>
  <c r="T71" i="2"/>
  <c r="J8" i="2"/>
  <c r="D40" i="4"/>
  <c r="H40" i="4" s="1"/>
  <c r="K198" i="10"/>
  <c r="K199" i="10" s="1"/>
  <c r="N31" i="3"/>
  <c r="N30" i="3" s="1"/>
  <c r="M18" i="10"/>
  <c r="N18" i="10" s="1"/>
  <c r="L13" i="10"/>
  <c r="K10" i="10"/>
  <c r="K15" i="10"/>
  <c r="L20" i="3"/>
  <c r="K24" i="3"/>
  <c r="L27" i="10" s="1"/>
  <c r="L17" i="10" s="1"/>
  <c r="L15" i="10" s="1"/>
  <c r="J10" i="7" s="1"/>
  <c r="K58" i="3"/>
  <c r="L98" i="10" s="1"/>
  <c r="I10" i="3"/>
  <c r="J8" i="10"/>
  <c r="J9" i="10" s="1"/>
  <c r="K20" i="3"/>
  <c r="K18" i="3"/>
  <c r="K49" i="3"/>
  <c r="K47" i="3"/>
  <c r="K46" i="3" s="1"/>
  <c r="K27" i="3"/>
  <c r="K25" i="3"/>
  <c r="K56" i="3"/>
  <c r="K54" i="3"/>
  <c r="L35" i="3"/>
  <c r="L29" i="10"/>
  <c r="L20" i="10" s="1"/>
  <c r="L27" i="3"/>
  <c r="L25" i="3"/>
  <c r="M32" i="3"/>
  <c r="M30" i="3"/>
  <c r="K41" i="3"/>
  <c r="K44" i="3"/>
  <c r="K42" i="3"/>
  <c r="L37" i="3"/>
  <c r="L30" i="10"/>
  <c r="L22" i="10" s="1"/>
  <c r="L61" i="3"/>
  <c r="L59" i="3"/>
  <c r="K61" i="3"/>
  <c r="K59" i="3"/>
  <c r="K15" i="3"/>
  <c r="K13" i="3"/>
  <c r="P4" i="10"/>
  <c r="P35" i="10" s="1"/>
  <c r="P61" i="10" s="1"/>
  <c r="P94" i="10" s="1"/>
  <c r="O35" i="10"/>
  <c r="O61" i="10" s="1"/>
  <c r="O94" i="10" s="1"/>
  <c r="K53" i="3"/>
  <c r="J7" i="7" s="1"/>
  <c r="L55" i="3"/>
  <c r="L58" i="3"/>
  <c r="M98" i="10" s="1"/>
  <c r="M26" i="3"/>
  <c r="L24" i="3"/>
  <c r="M27" i="10" s="1"/>
  <c r="J4" i="3"/>
  <c r="I39" i="3"/>
  <c r="K12" i="3"/>
  <c r="L25" i="10" s="1"/>
  <c r="L12" i="10" s="1"/>
  <c r="J10" i="3" l="1"/>
  <c r="I9" i="7"/>
  <c r="J22" i="3"/>
  <c r="I10" i="7"/>
  <c r="J11" i="7"/>
  <c r="K227" i="10"/>
  <c r="I133" i="10"/>
  <c r="H39" i="4"/>
  <c r="J12" i="4"/>
  <c r="N7" i="2"/>
  <c r="H41" i="4"/>
  <c r="K162" i="10"/>
  <c r="I37" i="2" s="1"/>
  <c r="L18" i="3"/>
  <c r="L17" i="3"/>
  <c r="M26" i="10" s="1"/>
  <c r="M13" i="10" s="1"/>
  <c r="K8" i="10"/>
  <c r="K9" i="10" s="1"/>
  <c r="N29" i="3"/>
  <c r="O28" i="10" s="1"/>
  <c r="O18" i="10" s="1"/>
  <c r="P18" i="10" s="1"/>
  <c r="N19" i="3"/>
  <c r="N32" i="3"/>
  <c r="K22" i="3"/>
  <c r="L10" i="10"/>
  <c r="M17" i="10"/>
  <c r="M15" i="10" s="1"/>
  <c r="M37" i="3"/>
  <c r="M30" i="10"/>
  <c r="M22" i="10" s="1"/>
  <c r="L49" i="3"/>
  <c r="L47" i="3"/>
  <c r="L46" i="3" s="1"/>
  <c r="L44" i="3"/>
  <c r="L42" i="3"/>
  <c r="L41" i="3" s="1"/>
  <c r="M27" i="3"/>
  <c r="M25" i="3"/>
  <c r="M35" i="3"/>
  <c r="M29" i="10"/>
  <c r="M20" i="10" s="1"/>
  <c r="K11" i="7" s="1"/>
  <c r="J6" i="10"/>
  <c r="I8" i="3"/>
  <c r="L54" i="3"/>
  <c r="L56" i="3"/>
  <c r="M61" i="3"/>
  <c r="M59" i="3"/>
  <c r="L15" i="3"/>
  <c r="L13" i="3"/>
  <c r="L12" i="3"/>
  <c r="M25" i="10" s="1"/>
  <c r="M12" i="10" s="1"/>
  <c r="K4" i="3"/>
  <c r="J39" i="3"/>
  <c r="M58" i="3"/>
  <c r="N98" i="10" s="1"/>
  <c r="N26" i="3"/>
  <c r="M24" i="3"/>
  <c r="N27" i="10" s="1"/>
  <c r="M55" i="3"/>
  <c r="L53" i="3"/>
  <c r="K7" i="7" s="1"/>
  <c r="H23" i="9"/>
  <c r="H24" i="9" s="1"/>
  <c r="H22" i="9"/>
  <c r="L22" i="3" l="1"/>
  <c r="K10" i="7"/>
  <c r="K10" i="3"/>
  <c r="J9" i="7"/>
  <c r="N24" i="4"/>
  <c r="N27" i="4" s="1"/>
  <c r="N9" i="4" s="1"/>
  <c r="N10" i="4" s="1"/>
  <c r="I12" i="4"/>
  <c r="I12" i="2" s="1"/>
  <c r="J12" i="2"/>
  <c r="J8" i="3"/>
  <c r="J87" i="3"/>
  <c r="K203" i="10" s="1"/>
  <c r="J84" i="3"/>
  <c r="K175" i="10" s="1"/>
  <c r="J90" i="3"/>
  <c r="K218" i="10" s="1"/>
  <c r="J93" i="3"/>
  <c r="K231" i="10" s="1"/>
  <c r="L8" i="10"/>
  <c r="L9" i="10" s="1"/>
  <c r="K6" i="10"/>
  <c r="K37" i="10" s="1"/>
  <c r="K38" i="10" s="1"/>
  <c r="M18" i="3"/>
  <c r="N44" i="3"/>
  <c r="M17" i="3"/>
  <c r="N26" i="10" s="1"/>
  <c r="N13" i="10" s="1"/>
  <c r="M20" i="3"/>
  <c r="M10" i="10"/>
  <c r="N17" i="10"/>
  <c r="N15" i="10" s="1"/>
  <c r="N35" i="3"/>
  <c r="O29" i="10" s="1"/>
  <c r="N29" i="10"/>
  <c r="N20" i="10" s="1"/>
  <c r="M54" i="3"/>
  <c r="M56" i="3"/>
  <c r="N24" i="3"/>
  <c r="O27" i="10" s="1"/>
  <c r="N25" i="3"/>
  <c r="N27" i="3"/>
  <c r="M49" i="3"/>
  <c r="M47" i="3"/>
  <c r="M44" i="3"/>
  <c r="M42" i="3"/>
  <c r="M41" i="3" s="1"/>
  <c r="N17" i="3"/>
  <c r="O26" i="10" s="1"/>
  <c r="N18" i="3"/>
  <c r="N20" i="3"/>
  <c r="N37" i="3"/>
  <c r="O30" i="10" s="1"/>
  <c r="N30" i="10"/>
  <c r="N22" i="10" s="1"/>
  <c r="J37" i="10"/>
  <c r="I6" i="3"/>
  <c r="N59" i="3"/>
  <c r="N61" i="3"/>
  <c r="M15" i="3"/>
  <c r="M13" i="3"/>
  <c r="N55" i="3"/>
  <c r="M53" i="3"/>
  <c r="L7" i="7" s="1"/>
  <c r="N58" i="3"/>
  <c r="O98" i="10" s="1"/>
  <c r="L4" i="3"/>
  <c r="K39" i="3"/>
  <c r="M12" i="3"/>
  <c r="N25" i="10" s="1"/>
  <c r="N12" i="10" s="1"/>
  <c r="M46" i="3"/>
  <c r="H23" i="7"/>
  <c r="M22" i="3" l="1"/>
  <c r="L10" i="7"/>
  <c r="L11" i="7"/>
  <c r="L10" i="3"/>
  <c r="K9" i="7"/>
  <c r="S68" i="2"/>
  <c r="N9" i="2"/>
  <c r="K310" i="10"/>
  <c r="L6" i="10"/>
  <c r="L37" i="10" s="1"/>
  <c r="K84" i="3"/>
  <c r="L175" i="10" s="1"/>
  <c r="K93" i="3"/>
  <c r="L231" i="10" s="1"/>
  <c r="K90" i="3"/>
  <c r="L218" i="10" s="1"/>
  <c r="K87" i="3"/>
  <c r="L203" i="10" s="1"/>
  <c r="J14" i="4"/>
  <c r="I14" i="4" s="1"/>
  <c r="N10" i="2"/>
  <c r="K8" i="3"/>
  <c r="N42" i="3"/>
  <c r="N41" i="3" s="1"/>
  <c r="J6" i="3"/>
  <c r="K42" i="10"/>
  <c r="I6" i="7" s="1"/>
  <c r="K101" i="10"/>
  <c r="K111" i="10"/>
  <c r="K127" i="10" s="1"/>
  <c r="K102" i="10"/>
  <c r="K72" i="10" s="1"/>
  <c r="K47" i="10"/>
  <c r="K67" i="10" s="1"/>
  <c r="K43" i="10"/>
  <c r="K41" i="10"/>
  <c r="M8" i="10"/>
  <c r="M9" i="10" s="1"/>
  <c r="O17" i="10"/>
  <c r="O15" i="10" s="1"/>
  <c r="O13" i="10"/>
  <c r="P13" i="10" s="1"/>
  <c r="N10" i="10"/>
  <c r="O20" i="10"/>
  <c r="J111" i="10"/>
  <c r="J101" i="10"/>
  <c r="J102" i="10"/>
  <c r="J72" i="10" s="1"/>
  <c r="K39" i="10"/>
  <c r="K112" i="10"/>
  <c r="O22" i="10"/>
  <c r="P22" i="10" s="1"/>
  <c r="N53" i="3"/>
  <c r="M7" i="7" s="1"/>
  <c r="N54" i="3"/>
  <c r="N56" i="3"/>
  <c r="N49" i="3"/>
  <c r="N47" i="3"/>
  <c r="N46" i="3" s="1"/>
  <c r="J43" i="10"/>
  <c r="J47" i="10"/>
  <c r="J67" i="10" s="1"/>
  <c r="J38" i="10"/>
  <c r="J41" i="10"/>
  <c r="J42" i="10"/>
  <c r="H6" i="7" s="1"/>
  <c r="O58" i="3"/>
  <c r="P98" i="10" s="1"/>
  <c r="O61" i="3"/>
  <c r="O59" i="3"/>
  <c r="N15" i="3"/>
  <c r="N13" i="3"/>
  <c r="O12" i="3"/>
  <c r="P25" i="10" s="1"/>
  <c r="N12" i="3"/>
  <c r="O25" i="10" s="1"/>
  <c r="O12" i="10" s="1"/>
  <c r="M4" i="3"/>
  <c r="L39" i="3"/>
  <c r="I14" i="2" l="1"/>
  <c r="P20" i="10"/>
  <c r="N11" i="7" s="1"/>
  <c r="M11" i="7"/>
  <c r="M10" i="3"/>
  <c r="L9" i="7"/>
  <c r="N22" i="3"/>
  <c r="M10" i="7"/>
  <c r="K6" i="3"/>
  <c r="M6" i="10"/>
  <c r="L6" i="3" s="1"/>
  <c r="L93" i="3"/>
  <c r="M231" i="10" s="1"/>
  <c r="L90" i="3"/>
  <c r="M218" i="10" s="1"/>
  <c r="L87" i="3"/>
  <c r="M203" i="10" s="1"/>
  <c r="L84" i="3"/>
  <c r="M175" i="10" s="1"/>
  <c r="J17" i="4"/>
  <c r="J16" i="2" s="1"/>
  <c r="J14" i="2"/>
  <c r="O10" i="10"/>
  <c r="K103" i="10"/>
  <c r="I35" i="2" s="1"/>
  <c r="K122" i="10"/>
  <c r="K44" i="10"/>
  <c r="K45" i="10" s="1"/>
  <c r="K126" i="10"/>
  <c r="K71" i="10"/>
  <c r="K73" i="10" s="1"/>
  <c r="K161" i="10" s="1"/>
  <c r="K125" i="10"/>
  <c r="N8" i="10"/>
  <c r="L8" i="3"/>
  <c r="P17" i="10"/>
  <c r="P15" i="10" s="1"/>
  <c r="L43" i="10"/>
  <c r="L111" i="10"/>
  <c r="L102" i="10"/>
  <c r="L72" i="10" s="1"/>
  <c r="L101" i="10"/>
  <c r="J39" i="10"/>
  <c r="J44" i="10" s="1"/>
  <c r="J112" i="10"/>
  <c r="K123" i="10"/>
  <c r="K124" i="10"/>
  <c r="J103" i="10"/>
  <c r="J71" i="10"/>
  <c r="J73" i="10" s="1"/>
  <c r="J127" i="10"/>
  <c r="J122" i="10"/>
  <c r="J125" i="10"/>
  <c r="J126" i="10"/>
  <c r="O46" i="3"/>
  <c r="O49" i="3"/>
  <c r="O47" i="3"/>
  <c r="P12" i="10"/>
  <c r="P10" i="10" s="1"/>
  <c r="N9" i="7" s="1"/>
  <c r="L41" i="10"/>
  <c r="L47" i="10"/>
  <c r="L67" i="10" s="1"/>
  <c r="L38" i="10"/>
  <c r="L42" i="10"/>
  <c r="J6" i="7" s="1"/>
  <c r="N4" i="3"/>
  <c r="M39" i="3"/>
  <c r="O22" i="3" l="1"/>
  <c r="N10" i="7"/>
  <c r="N10" i="3"/>
  <c r="M9" i="7"/>
  <c r="M37" i="10"/>
  <c r="M41" i="10" s="1"/>
  <c r="M8" i="3"/>
  <c r="N9" i="10"/>
  <c r="M93" i="3"/>
  <c r="N231" i="10" s="1"/>
  <c r="M84" i="3"/>
  <c r="N175" i="10" s="1"/>
  <c r="M87" i="3"/>
  <c r="N203" i="10" s="1"/>
  <c r="M90" i="3"/>
  <c r="N218" i="10" s="1"/>
  <c r="J48" i="10"/>
  <c r="J45" i="10"/>
  <c r="K48" i="10"/>
  <c r="K325" i="10"/>
  <c r="I33" i="2" s="1"/>
  <c r="O8" i="10"/>
  <c r="O10" i="3"/>
  <c r="K132" i="10"/>
  <c r="K131" i="10"/>
  <c r="N6" i="10"/>
  <c r="N37" i="10" s="1"/>
  <c r="L39" i="10"/>
  <c r="L44" i="10" s="1"/>
  <c r="L45" i="10" s="1"/>
  <c r="L112" i="10"/>
  <c r="J124" i="10"/>
  <c r="J132" i="10" s="1"/>
  <c r="J123" i="10"/>
  <c r="J131" i="10" s="1"/>
  <c r="L103" i="10"/>
  <c r="J35" i="2" s="1"/>
  <c r="L71" i="10"/>
  <c r="L73" i="10" s="1"/>
  <c r="L127" i="10"/>
  <c r="L125" i="10"/>
  <c r="L126" i="10"/>
  <c r="L122" i="10"/>
  <c r="P8" i="10"/>
  <c r="O4" i="3"/>
  <c r="O39" i="3" s="1"/>
  <c r="N39" i="3"/>
  <c r="M38" i="10" l="1"/>
  <c r="M39" i="10" s="1"/>
  <c r="M47" i="10"/>
  <c r="M67" i="10" s="1"/>
  <c r="M101" i="10"/>
  <c r="M102" i="10"/>
  <c r="M72" i="10" s="1"/>
  <c r="M111" i="10"/>
  <c r="M125" i="10" s="1"/>
  <c r="M43" i="10"/>
  <c r="M42" i="10"/>
  <c r="K6" i="7" s="1"/>
  <c r="P6" i="10"/>
  <c r="F6" i="10" s="1"/>
  <c r="F7" i="10" s="1"/>
  <c r="P9" i="10"/>
  <c r="O6" i="10"/>
  <c r="O37" i="10" s="1"/>
  <c r="O9" i="10"/>
  <c r="N93" i="3"/>
  <c r="O231" i="10" s="1"/>
  <c r="N90" i="3"/>
  <c r="O218" i="10" s="1"/>
  <c r="N87" i="3"/>
  <c r="O203" i="10" s="1"/>
  <c r="N84" i="3"/>
  <c r="O175" i="10" s="1"/>
  <c r="O84" i="3"/>
  <c r="P175" i="10" s="1"/>
  <c r="O87" i="3"/>
  <c r="P203" i="10" s="1"/>
  <c r="O93" i="3"/>
  <c r="P231" i="10" s="1"/>
  <c r="O90" i="3"/>
  <c r="P218" i="10" s="1"/>
  <c r="L48" i="10"/>
  <c r="L325" i="10"/>
  <c r="J33" i="2" s="1"/>
  <c r="N8" i="3"/>
  <c r="L161" i="10"/>
  <c r="K133" i="10"/>
  <c r="M6" i="3"/>
  <c r="J133" i="10"/>
  <c r="O8" i="3"/>
  <c r="N43" i="10"/>
  <c r="N111" i="10"/>
  <c r="N102" i="10"/>
  <c r="N72" i="10" s="1"/>
  <c r="N101" i="10"/>
  <c r="L123" i="10"/>
  <c r="L131" i="10" s="1"/>
  <c r="L124" i="10"/>
  <c r="L132" i="10" s="1"/>
  <c r="N47" i="10"/>
  <c r="N67" i="10" s="1"/>
  <c r="N42" i="10"/>
  <c r="L6" i="7" s="1"/>
  <c r="N41" i="10"/>
  <c r="N38" i="10"/>
  <c r="M103" i="10" l="1"/>
  <c r="K35" i="2" s="1"/>
  <c r="M71" i="10"/>
  <c r="M73" i="10" s="1"/>
  <c r="M161" i="10" s="1"/>
  <c r="M112" i="10"/>
  <c r="M124" i="10" s="1"/>
  <c r="M44" i="10"/>
  <c r="M45" i="10" s="1"/>
  <c r="M126" i="10"/>
  <c r="M122" i="10"/>
  <c r="M127" i="10"/>
  <c r="P37" i="10"/>
  <c r="P114" i="2" s="1"/>
  <c r="N6" i="3"/>
  <c r="O6" i="3"/>
  <c r="K135" i="10"/>
  <c r="K66" i="10" s="1"/>
  <c r="J135" i="10"/>
  <c r="J66" i="10" s="1"/>
  <c r="L133" i="10"/>
  <c r="L135" i="10" s="1"/>
  <c r="L66" i="10" s="1"/>
  <c r="N127" i="10"/>
  <c r="N125" i="10"/>
  <c r="N122" i="10"/>
  <c r="N126" i="10"/>
  <c r="N103" i="10"/>
  <c r="L35" i="2" s="1"/>
  <c r="N71" i="10"/>
  <c r="N73" i="10" s="1"/>
  <c r="O43" i="10"/>
  <c r="O111" i="10"/>
  <c r="O102" i="10"/>
  <c r="O72" i="10" s="1"/>
  <c r="O101" i="10"/>
  <c r="N39" i="10"/>
  <c r="N44" i="10" s="1"/>
  <c r="N45" i="10" s="1"/>
  <c r="N112" i="10"/>
  <c r="O47" i="10"/>
  <c r="O67" i="10" s="1"/>
  <c r="O41" i="10"/>
  <c r="O42" i="10"/>
  <c r="M6" i="7" s="1"/>
  <c r="O38" i="10"/>
  <c r="P38" i="10"/>
  <c r="M123" i="10" l="1"/>
  <c r="M131" i="10" s="1"/>
  <c r="M325" i="10"/>
  <c r="K33" i="2" s="1"/>
  <c r="M48" i="10"/>
  <c r="M132" i="10"/>
  <c r="P47" i="10"/>
  <c r="P67" i="10" s="1"/>
  <c r="P101" i="10"/>
  <c r="P71" i="10" s="1"/>
  <c r="P102" i="10"/>
  <c r="P72" i="10" s="1"/>
  <c r="P111" i="10"/>
  <c r="P127" i="10" s="1"/>
  <c r="P43" i="10"/>
  <c r="P41" i="10"/>
  <c r="P42" i="10"/>
  <c r="N6" i="7" s="1"/>
  <c r="N48" i="10"/>
  <c r="N325" i="10"/>
  <c r="L33" i="2" s="1"/>
  <c r="N161" i="10"/>
  <c r="O39" i="10"/>
  <c r="O44" i="10" s="1"/>
  <c r="O45" i="10" s="1"/>
  <c r="O112" i="10"/>
  <c r="N123" i="10"/>
  <c r="N131" i="10" s="1"/>
  <c r="N124" i="10"/>
  <c r="N132" i="10" s="1"/>
  <c r="O103" i="10"/>
  <c r="M35" i="2" s="1"/>
  <c r="O71" i="10"/>
  <c r="O73" i="10" s="1"/>
  <c r="P39" i="10"/>
  <c r="P112" i="10"/>
  <c r="O125" i="10"/>
  <c r="O122" i="10"/>
  <c r="O127" i="10"/>
  <c r="O126" i="10"/>
  <c r="M133" i="10" l="1"/>
  <c r="M135" i="10" s="1"/>
  <c r="M66" i="10" s="1"/>
  <c r="P73" i="10"/>
  <c r="P161" i="10" s="1"/>
  <c r="P103" i="10"/>
  <c r="N35" i="2" s="1"/>
  <c r="P122" i="10"/>
  <c r="P44" i="10"/>
  <c r="P45" i="10" s="1"/>
  <c r="P125" i="10"/>
  <c r="P126" i="10"/>
  <c r="O48" i="10"/>
  <c r="O325" i="10"/>
  <c r="M33" i="2" s="1"/>
  <c r="O161" i="10"/>
  <c r="N133" i="10"/>
  <c r="P123" i="10"/>
  <c r="P124" i="10"/>
  <c r="P132" i="10" s="1"/>
  <c r="O123" i="10"/>
  <c r="O131" i="10" s="1"/>
  <c r="O124" i="10"/>
  <c r="O132" i="10" s="1"/>
  <c r="N135" i="10" l="1"/>
  <c r="N66" i="10" s="1"/>
  <c r="P131" i="10"/>
  <c r="P133" i="10" s="1"/>
  <c r="P325" i="10"/>
  <c r="N33" i="2" s="1"/>
  <c r="U69" i="2" s="1"/>
  <c r="V69" i="2" s="1"/>
  <c r="P48" i="10"/>
  <c r="O133" i="10"/>
  <c r="O135" i="10" s="1"/>
  <c r="O66" i="10" s="1"/>
  <c r="P135" i="10" l="1"/>
  <c r="P66" i="10" s="1"/>
  <c r="K327" i="10" l="1"/>
  <c r="K335" i="10" s="1"/>
  <c r="L326" i="10" l="1"/>
  <c r="M326" i="10" s="1"/>
  <c r="N326" i="10" s="1"/>
  <c r="O326" i="10" s="1"/>
  <c r="P326" i="10" s="1"/>
  <c r="P327" i="10" s="1"/>
  <c r="P335" i="10" s="1"/>
  <c r="O327" i="10" l="1"/>
  <c r="O335" i="10" s="1"/>
  <c r="M327" i="10"/>
  <c r="M335" i="10" s="1"/>
  <c r="N327" i="10"/>
  <c r="N335" i="10" s="1"/>
  <c r="L327" i="10"/>
  <c r="L335" i="10" s="1"/>
  <c r="O342" i="10" l="1"/>
  <c r="N343" i="10"/>
  <c r="M344" i="10"/>
  <c r="L345" i="10"/>
  <c r="K346" i="10"/>
  <c r="I15" i="12"/>
  <c r="J15" i="12"/>
  <c r="K15" i="12"/>
  <c r="L15" i="12"/>
  <c r="M15" i="12"/>
  <c r="N15" i="12"/>
  <c r="I16" i="12"/>
  <c r="J16" i="12"/>
  <c r="K16" i="12"/>
  <c r="L16" i="12"/>
  <c r="M16" i="12"/>
  <c r="N16" i="12"/>
  <c r="I17" i="12"/>
  <c r="J17" i="12"/>
  <c r="K17" i="12"/>
  <c r="L17" i="12"/>
  <c r="M17" i="12"/>
  <c r="N17" i="12"/>
  <c r="I19" i="12"/>
  <c r="J19" i="12"/>
  <c r="K19" i="12"/>
  <c r="L19" i="12"/>
  <c r="M19" i="12"/>
  <c r="N19" i="12"/>
  <c r="I23" i="12"/>
  <c r="J23" i="12"/>
  <c r="K23" i="12"/>
  <c r="L23" i="12"/>
  <c r="M23" i="12"/>
  <c r="N23" i="12"/>
  <c r="I27" i="12"/>
  <c r="J27" i="12"/>
  <c r="K27" i="12"/>
  <c r="L27" i="12"/>
  <c r="M27" i="12"/>
  <c r="N27" i="12"/>
  <c r="I28" i="12"/>
  <c r="J28" i="12"/>
  <c r="K28" i="12"/>
  <c r="L28" i="12"/>
  <c r="M28" i="12"/>
  <c r="N28" i="12"/>
  <c r="J33" i="12"/>
  <c r="K33" i="12"/>
  <c r="L33" i="12"/>
  <c r="M33" i="12"/>
  <c r="N33" i="12"/>
  <c r="I34" i="12"/>
  <c r="J34" i="12"/>
  <c r="K34" i="12"/>
  <c r="L34" i="12"/>
  <c r="M34" i="12"/>
  <c r="N34" i="12"/>
  <c r="I35" i="12"/>
  <c r="J35" i="12"/>
  <c r="K35" i="12"/>
  <c r="L35" i="12"/>
  <c r="M35" i="12"/>
  <c r="N35" i="12"/>
  <c r="I38" i="12"/>
  <c r="J38" i="12"/>
  <c r="K38" i="12"/>
  <c r="L38" i="12"/>
  <c r="M38" i="12"/>
  <c r="N38" i="12"/>
  <c r="M55" i="12"/>
  <c r="M56" i="12"/>
  <c r="J79" i="12"/>
  <c r="K79" i="12"/>
  <c r="L79" i="12"/>
  <c r="M79" i="12"/>
  <c r="N79" i="12"/>
  <c r="J81" i="12"/>
  <c r="K81" i="12"/>
  <c r="L81" i="12"/>
  <c r="M81" i="12"/>
  <c r="N81" i="12"/>
  <c r="J83" i="12"/>
  <c r="K83" i="12"/>
  <c r="L83" i="12"/>
  <c r="M83" i="12"/>
  <c r="N83" i="12"/>
  <c r="J84" i="12"/>
  <c r="K84" i="12"/>
  <c r="L84" i="12"/>
  <c r="M84" i="12"/>
  <c r="N84" i="12"/>
  <c r="J91" i="12"/>
  <c r="K91" i="12"/>
  <c r="L91" i="12"/>
  <c r="M91" i="12"/>
  <c r="N91" i="12"/>
  <c r="J95" i="12"/>
  <c r="K95" i="12"/>
  <c r="L95" i="12"/>
  <c r="M95" i="12"/>
  <c r="N95" i="12"/>
  <c r="J96" i="12"/>
  <c r="K96" i="12"/>
  <c r="L96" i="12"/>
  <c r="M96" i="12"/>
  <c r="N96" i="12"/>
  <c r="K105" i="12"/>
  <c r="L105" i="12"/>
  <c r="M105" i="12"/>
  <c r="N105" i="12"/>
  <c r="J106" i="12"/>
  <c r="K106" i="12"/>
  <c r="L106" i="12"/>
  <c r="M106" i="12"/>
  <c r="N106" i="12"/>
  <c r="J107" i="12"/>
  <c r="K107" i="12"/>
  <c r="L107" i="12"/>
  <c r="M107" i="12"/>
  <c r="N107" i="12"/>
  <c r="J110" i="12"/>
  <c r="K110" i="12"/>
  <c r="L110" i="12"/>
  <c r="M110" i="12"/>
  <c r="N110" i="12"/>
  <c r="E116" i="12"/>
  <c r="M116" i="12"/>
  <c r="E117" i="12"/>
  <c r="D118" i="12"/>
  <c r="E118" i="12"/>
  <c r="D119" i="12"/>
  <c r="E119" i="12"/>
  <c r="I119" i="12"/>
  <c r="M120" i="12"/>
  <c r="C121" i="12"/>
  <c r="I121" i="12"/>
  <c r="M121" i="12"/>
  <c r="I122" i="12"/>
  <c r="J50" i="10"/>
  <c r="K50" i="10"/>
  <c r="L50" i="10"/>
  <c r="M50" i="10"/>
  <c r="N50" i="10"/>
  <c r="O50" i="10"/>
  <c r="P50" i="10"/>
  <c r="K51" i="10"/>
  <c r="L51" i="10"/>
  <c r="M51" i="10"/>
  <c r="N51" i="10"/>
  <c r="O51" i="10"/>
  <c r="P51" i="10"/>
  <c r="J53" i="10"/>
  <c r="K53" i="10"/>
  <c r="L53" i="10"/>
  <c r="M53" i="10"/>
  <c r="N53" i="10"/>
  <c r="O53" i="10"/>
  <c r="P53" i="10"/>
  <c r="J55" i="10"/>
  <c r="K55" i="10"/>
  <c r="L55" i="10"/>
  <c r="M55" i="10"/>
  <c r="N55" i="10"/>
  <c r="O55" i="10"/>
  <c r="P55" i="10"/>
  <c r="J56" i="10"/>
  <c r="K56" i="10"/>
  <c r="L56" i="10"/>
  <c r="M56" i="10"/>
  <c r="N56" i="10"/>
  <c r="O56" i="10"/>
  <c r="P56" i="10"/>
  <c r="J64" i="10"/>
  <c r="K64" i="10"/>
  <c r="L64" i="10"/>
  <c r="M64" i="10"/>
  <c r="N64" i="10"/>
  <c r="O64" i="10"/>
  <c r="P64" i="10"/>
  <c r="K65" i="10"/>
  <c r="L65" i="10"/>
  <c r="M65" i="10"/>
  <c r="N65" i="10"/>
  <c r="O65" i="10"/>
  <c r="P65" i="10"/>
  <c r="J68" i="10"/>
  <c r="K68" i="10"/>
  <c r="L68" i="10"/>
  <c r="M68" i="10"/>
  <c r="N68" i="10"/>
  <c r="O68" i="10"/>
  <c r="P68" i="10"/>
  <c r="K77" i="10"/>
  <c r="L77" i="10"/>
  <c r="M77" i="10"/>
  <c r="N77" i="10"/>
  <c r="O77" i="10"/>
  <c r="P77" i="10"/>
  <c r="K78" i="10"/>
  <c r="L78" i="10"/>
  <c r="M78" i="10"/>
  <c r="N78" i="10"/>
  <c r="O78" i="10"/>
  <c r="P78" i="10"/>
  <c r="K79" i="10"/>
  <c r="L79" i="10"/>
  <c r="M79" i="10"/>
  <c r="N79" i="10"/>
  <c r="O79" i="10"/>
  <c r="P79" i="10"/>
  <c r="K83" i="10"/>
  <c r="L83" i="10"/>
  <c r="M83" i="10"/>
  <c r="N83" i="10"/>
  <c r="O83" i="10"/>
  <c r="P83" i="10"/>
  <c r="K86" i="10"/>
  <c r="L86" i="10"/>
  <c r="M86" i="10"/>
  <c r="N86" i="10"/>
  <c r="O86" i="10"/>
  <c r="P86" i="10"/>
  <c r="G87" i="10"/>
  <c r="J87" i="10"/>
  <c r="K87" i="10"/>
  <c r="L87" i="10"/>
  <c r="M87" i="10"/>
  <c r="N87" i="10"/>
  <c r="O87" i="10"/>
  <c r="P87" i="10"/>
  <c r="J88" i="10"/>
  <c r="K88" i="10"/>
  <c r="L88" i="10"/>
  <c r="M88" i="10"/>
  <c r="N88" i="10"/>
  <c r="O88" i="10"/>
  <c r="P88" i="10"/>
  <c r="L159" i="10"/>
  <c r="M159" i="10"/>
  <c r="N159" i="10"/>
  <c r="O159" i="10"/>
  <c r="P159" i="10"/>
  <c r="K160" i="10"/>
  <c r="L160" i="10"/>
  <c r="M160" i="10"/>
  <c r="N160" i="10"/>
  <c r="O160" i="10"/>
  <c r="P160" i="10"/>
  <c r="L162" i="10"/>
  <c r="M162" i="10"/>
  <c r="N162" i="10"/>
  <c r="O162" i="10"/>
  <c r="P162" i="10"/>
  <c r="K166" i="10"/>
  <c r="L166" i="10"/>
  <c r="M166" i="10"/>
  <c r="N166" i="10"/>
  <c r="O166" i="10"/>
  <c r="P166" i="10"/>
  <c r="L169" i="10"/>
  <c r="M169" i="10"/>
  <c r="N169" i="10"/>
  <c r="O169" i="10"/>
  <c r="P169" i="10"/>
  <c r="K170" i="10"/>
  <c r="L170" i="10"/>
  <c r="M170" i="10"/>
  <c r="N170" i="10"/>
  <c r="O170" i="10"/>
  <c r="P170" i="10"/>
  <c r="K171" i="10"/>
  <c r="L171" i="10"/>
  <c r="M171" i="10"/>
  <c r="N171" i="10"/>
  <c r="O171" i="10"/>
  <c r="P171" i="10"/>
  <c r="K173" i="10"/>
  <c r="L173" i="10"/>
  <c r="M173" i="10"/>
  <c r="N173" i="10"/>
  <c r="O173" i="10"/>
  <c r="P173" i="10"/>
  <c r="K176" i="10"/>
  <c r="L176" i="10"/>
  <c r="M176" i="10"/>
  <c r="N176" i="10"/>
  <c r="O176" i="10"/>
  <c r="P176" i="10"/>
  <c r="L179" i="10"/>
  <c r="M179" i="10"/>
  <c r="N179" i="10"/>
  <c r="O179" i="10"/>
  <c r="P179" i="10"/>
  <c r="K180" i="10"/>
  <c r="L180" i="10"/>
  <c r="M180" i="10"/>
  <c r="N180" i="10"/>
  <c r="O180" i="10"/>
  <c r="P180" i="10"/>
  <c r="K181" i="10"/>
  <c r="L181" i="10"/>
  <c r="M181" i="10"/>
  <c r="N181" i="10"/>
  <c r="O181" i="10"/>
  <c r="P181" i="10"/>
  <c r="K184" i="10"/>
  <c r="L184" i="10"/>
  <c r="M184" i="10"/>
  <c r="N184" i="10"/>
  <c r="O184" i="10"/>
  <c r="P184" i="10"/>
  <c r="K186" i="10"/>
  <c r="L186" i="10"/>
  <c r="M186" i="10"/>
  <c r="N186" i="10"/>
  <c r="O186" i="10"/>
  <c r="P186" i="10"/>
  <c r="K195" i="10"/>
  <c r="L195" i="10"/>
  <c r="M195" i="10"/>
  <c r="N195" i="10"/>
  <c r="O195" i="10"/>
  <c r="P195" i="10"/>
  <c r="K196" i="10"/>
  <c r="L196" i="10"/>
  <c r="M196" i="10"/>
  <c r="N196" i="10"/>
  <c r="O196" i="10"/>
  <c r="P196" i="10"/>
  <c r="L198" i="10"/>
  <c r="M198" i="10"/>
  <c r="N198" i="10"/>
  <c r="O198" i="10"/>
  <c r="P198" i="10"/>
  <c r="L199" i="10"/>
  <c r="M199" i="10"/>
  <c r="N199" i="10"/>
  <c r="O199" i="10"/>
  <c r="P199" i="10"/>
  <c r="K200" i="10"/>
  <c r="L200" i="10"/>
  <c r="M200" i="10"/>
  <c r="N200" i="10"/>
  <c r="O200" i="10"/>
  <c r="P200" i="10"/>
  <c r="K201" i="10"/>
  <c r="L201" i="10"/>
  <c r="M201" i="10"/>
  <c r="N201" i="10"/>
  <c r="O201" i="10"/>
  <c r="P201" i="10"/>
  <c r="K204" i="10"/>
  <c r="L204" i="10"/>
  <c r="M204" i="10"/>
  <c r="N204" i="10"/>
  <c r="O204" i="10"/>
  <c r="P204" i="10"/>
  <c r="K210" i="10"/>
  <c r="L210" i="10"/>
  <c r="M210" i="10"/>
  <c r="N210" i="10"/>
  <c r="O210" i="10"/>
  <c r="P210" i="10"/>
  <c r="K211" i="10"/>
  <c r="L211" i="10"/>
  <c r="M211" i="10"/>
  <c r="N211" i="10"/>
  <c r="O211" i="10"/>
  <c r="P211" i="10"/>
  <c r="L213" i="10"/>
  <c r="M213" i="10"/>
  <c r="N213" i="10"/>
  <c r="O213" i="10"/>
  <c r="P213" i="10"/>
  <c r="L214" i="10"/>
  <c r="M214" i="10"/>
  <c r="N214" i="10"/>
  <c r="O214" i="10"/>
  <c r="P214" i="10"/>
  <c r="K215" i="10"/>
  <c r="L215" i="10"/>
  <c r="M215" i="10"/>
  <c r="N215" i="10"/>
  <c r="O215" i="10"/>
  <c r="P215" i="10"/>
  <c r="K216" i="10"/>
  <c r="L216" i="10"/>
  <c r="M216" i="10"/>
  <c r="N216" i="10"/>
  <c r="O216" i="10"/>
  <c r="P216" i="10"/>
  <c r="K219" i="10"/>
  <c r="L219" i="10"/>
  <c r="M219" i="10"/>
  <c r="N219" i="10"/>
  <c r="O219" i="10"/>
  <c r="P219" i="10"/>
  <c r="L227" i="10"/>
  <c r="M227" i="10"/>
  <c r="N227" i="10"/>
  <c r="O227" i="10"/>
  <c r="P227" i="10"/>
  <c r="K228" i="10"/>
  <c r="L228" i="10"/>
  <c r="M228" i="10"/>
  <c r="N228" i="10"/>
  <c r="O228" i="10"/>
  <c r="P228" i="10"/>
  <c r="K229" i="10"/>
  <c r="L229" i="10"/>
  <c r="M229" i="10"/>
  <c r="N229" i="10"/>
  <c r="O229" i="10"/>
  <c r="P229" i="10"/>
  <c r="K237" i="10"/>
  <c r="L237" i="10"/>
  <c r="M237" i="10"/>
  <c r="N237" i="10"/>
  <c r="O237" i="10"/>
  <c r="P237" i="10"/>
  <c r="K238" i="10"/>
  <c r="L238" i="10"/>
  <c r="M238" i="10"/>
  <c r="N238" i="10"/>
  <c r="O238" i="10"/>
  <c r="P238" i="10"/>
  <c r="K239" i="10"/>
  <c r="L239" i="10"/>
  <c r="M239" i="10"/>
  <c r="N239" i="10"/>
  <c r="O239" i="10"/>
  <c r="P239" i="10"/>
  <c r="K241" i="10"/>
  <c r="L241" i="10"/>
  <c r="M241" i="10"/>
  <c r="N241" i="10"/>
  <c r="O241" i="10"/>
  <c r="P241" i="10"/>
  <c r="K242" i="10"/>
  <c r="L242" i="10"/>
  <c r="M242" i="10"/>
  <c r="N242" i="10"/>
  <c r="O242" i="10"/>
  <c r="P242" i="10"/>
  <c r="K243" i="10"/>
  <c r="L243" i="10"/>
  <c r="M243" i="10"/>
  <c r="N243" i="10"/>
  <c r="O243" i="10"/>
  <c r="P243" i="10"/>
  <c r="K249" i="10"/>
  <c r="L249" i="10"/>
  <c r="M249" i="10"/>
  <c r="N249" i="10"/>
  <c r="O249" i="10"/>
  <c r="P249" i="10"/>
  <c r="J250" i="10"/>
  <c r="K250" i="10"/>
  <c r="L250" i="10"/>
  <c r="M250" i="10"/>
  <c r="N250" i="10"/>
  <c r="O250" i="10"/>
  <c r="P250" i="10"/>
  <c r="J254" i="10"/>
  <c r="K254" i="10"/>
  <c r="L254" i="10"/>
  <c r="M254" i="10"/>
  <c r="N254" i="10"/>
  <c r="O254" i="10"/>
  <c r="P254" i="10"/>
  <c r="K266" i="10"/>
  <c r="L266" i="10"/>
  <c r="M266" i="10"/>
  <c r="N266" i="10"/>
  <c r="O266" i="10"/>
  <c r="P266" i="10"/>
  <c r="K267" i="10"/>
  <c r="L267" i="10"/>
  <c r="M267" i="10"/>
  <c r="N267" i="10"/>
  <c r="O267" i="10"/>
  <c r="P267" i="10"/>
  <c r="K268" i="10"/>
  <c r="L268" i="10"/>
  <c r="M268" i="10"/>
  <c r="N268" i="10"/>
  <c r="O268" i="10"/>
  <c r="P268" i="10"/>
  <c r="K270" i="10"/>
  <c r="L270" i="10"/>
  <c r="M270" i="10"/>
  <c r="N270" i="10"/>
  <c r="O270" i="10"/>
  <c r="P270" i="10"/>
  <c r="K275" i="10"/>
  <c r="L275" i="10"/>
  <c r="M275" i="10"/>
  <c r="N275" i="10"/>
  <c r="O275" i="10"/>
  <c r="P275" i="10"/>
  <c r="K276" i="10"/>
  <c r="L276" i="10"/>
  <c r="M276" i="10"/>
  <c r="N276" i="10"/>
  <c r="O276" i="10"/>
  <c r="P276" i="10"/>
  <c r="K277" i="10"/>
  <c r="L277" i="10"/>
  <c r="M277" i="10"/>
  <c r="N277" i="10"/>
  <c r="O277" i="10"/>
  <c r="P277" i="10"/>
  <c r="K278" i="10"/>
  <c r="L278" i="10"/>
  <c r="M278" i="10"/>
  <c r="N278" i="10"/>
  <c r="O278" i="10"/>
  <c r="P278" i="10"/>
  <c r="K279" i="10"/>
  <c r="L279" i="10"/>
  <c r="M279" i="10"/>
  <c r="N279" i="10"/>
  <c r="O279" i="10"/>
  <c r="P279" i="10"/>
  <c r="K284" i="10"/>
  <c r="L284" i="10"/>
  <c r="M284" i="10"/>
  <c r="N284" i="10"/>
  <c r="O284" i="10"/>
  <c r="P284" i="10"/>
  <c r="K285" i="10"/>
  <c r="L285" i="10"/>
  <c r="M285" i="10"/>
  <c r="N285" i="10"/>
  <c r="O285" i="10"/>
  <c r="P285" i="10"/>
  <c r="K286" i="10"/>
  <c r="L286" i="10"/>
  <c r="M286" i="10"/>
  <c r="N286" i="10"/>
  <c r="O286" i="10"/>
  <c r="P286" i="10"/>
  <c r="K287" i="10"/>
  <c r="L287" i="10"/>
  <c r="M287" i="10"/>
  <c r="N287" i="10"/>
  <c r="O287" i="10"/>
  <c r="P287" i="10"/>
  <c r="K288" i="10"/>
  <c r="L288" i="10"/>
  <c r="M288" i="10"/>
  <c r="N288" i="10"/>
  <c r="O288" i="10"/>
  <c r="P288" i="10"/>
  <c r="K291" i="10"/>
  <c r="L291" i="10"/>
  <c r="M291" i="10"/>
  <c r="N291" i="10"/>
  <c r="O291" i="10"/>
  <c r="P291" i="10"/>
  <c r="K292" i="10"/>
  <c r="L292" i="10"/>
  <c r="M292" i="10"/>
  <c r="N292" i="10"/>
  <c r="O292" i="10"/>
  <c r="P292" i="10"/>
  <c r="K293" i="10"/>
  <c r="L293" i="10"/>
  <c r="M293" i="10"/>
  <c r="N293" i="10"/>
  <c r="O293" i="10"/>
  <c r="P293" i="10"/>
  <c r="J295" i="10"/>
  <c r="K295" i="10"/>
  <c r="L295" i="10"/>
  <c r="M295" i="10"/>
  <c r="N295" i="10"/>
  <c r="O295" i="10"/>
  <c r="P295" i="10"/>
  <c r="K304" i="10"/>
  <c r="L304" i="10"/>
  <c r="M304" i="10"/>
  <c r="N304" i="10"/>
  <c r="O304" i="10"/>
  <c r="P304" i="10"/>
  <c r="K306" i="10"/>
  <c r="L306" i="10"/>
  <c r="M306" i="10"/>
  <c r="N306" i="10"/>
  <c r="O306" i="10"/>
  <c r="P306" i="10"/>
  <c r="L310" i="10"/>
  <c r="M310" i="10"/>
  <c r="N310" i="10"/>
  <c r="O310" i="10"/>
  <c r="P310" i="10"/>
  <c r="K311" i="10"/>
  <c r="L311" i="10"/>
  <c r="M311" i="10"/>
  <c r="N311" i="10"/>
  <c r="O311" i="10"/>
  <c r="P311" i="10"/>
  <c r="K313" i="10"/>
  <c r="L313" i="10"/>
  <c r="M313" i="10"/>
  <c r="N313" i="10"/>
  <c r="O313" i="10"/>
  <c r="P313" i="10"/>
  <c r="K330" i="10"/>
  <c r="L330" i="10"/>
  <c r="M330" i="10"/>
  <c r="N330" i="10"/>
  <c r="O330" i="10"/>
  <c r="P330" i="10"/>
  <c r="K331" i="10"/>
  <c r="L331" i="10"/>
  <c r="M331" i="10"/>
  <c r="N331" i="10"/>
  <c r="O331" i="10"/>
  <c r="P331" i="10"/>
  <c r="K332" i="10"/>
  <c r="L332" i="10"/>
  <c r="M332" i="10"/>
  <c r="N332" i="10"/>
  <c r="O332" i="10"/>
  <c r="P332" i="10"/>
  <c r="K336" i="10"/>
  <c r="L336" i="10"/>
  <c r="M336" i="10"/>
  <c r="N336" i="10"/>
  <c r="O336" i="10"/>
  <c r="P336" i="10"/>
  <c r="K337" i="10"/>
  <c r="L337" i="10"/>
  <c r="M337" i="10"/>
  <c r="N337" i="10"/>
  <c r="O337" i="10"/>
  <c r="P337" i="10"/>
  <c r="C342" i="10"/>
  <c r="D342" i="10"/>
  <c r="J342" i="10"/>
  <c r="P342" i="10"/>
  <c r="C343" i="10"/>
  <c r="D343" i="10"/>
  <c r="J343" i="10"/>
  <c r="O343" i="10"/>
  <c r="C344" i="10"/>
  <c r="D344" i="10"/>
  <c r="J344" i="10"/>
  <c r="N344" i="10"/>
  <c r="C345" i="10"/>
  <c r="D345" i="10"/>
  <c r="J345" i="10"/>
  <c r="M345" i="10"/>
  <c r="C346" i="10"/>
  <c r="D346" i="10"/>
  <c r="J346" i="10"/>
  <c r="L346" i="10"/>
  <c r="C347" i="10"/>
  <c r="D347" i="10"/>
  <c r="J347" i="10"/>
  <c r="K347" i="10"/>
  <c r="D7" i="2"/>
  <c r="I7" i="2"/>
  <c r="J7" i="2"/>
  <c r="D13" i="2"/>
  <c r="I13" i="2"/>
  <c r="J13" i="2"/>
  <c r="D14" i="2"/>
  <c r="B26" i="2"/>
  <c r="F26" i="2"/>
  <c r="J26" i="2"/>
  <c r="I34" i="2"/>
  <c r="J34" i="2"/>
  <c r="K34" i="2"/>
  <c r="L34" i="2"/>
  <c r="M34" i="2"/>
  <c r="N34" i="2"/>
  <c r="I36" i="2"/>
  <c r="J36" i="2"/>
  <c r="K36" i="2"/>
  <c r="L36" i="2"/>
  <c r="M36" i="2"/>
  <c r="N36" i="2"/>
  <c r="J37" i="2"/>
  <c r="K37" i="2"/>
  <c r="L37" i="2"/>
  <c r="M37" i="2"/>
  <c r="N37" i="2"/>
  <c r="I38" i="2"/>
  <c r="J38" i="2"/>
  <c r="K38" i="2"/>
  <c r="L38" i="2"/>
  <c r="M38" i="2"/>
  <c r="N38" i="2"/>
  <c r="I39" i="2"/>
  <c r="J39" i="2"/>
  <c r="K39" i="2"/>
  <c r="L39" i="2"/>
  <c r="M39" i="2"/>
  <c r="N39" i="2"/>
  <c r="I41" i="2"/>
  <c r="J41" i="2"/>
  <c r="K41" i="2"/>
  <c r="L41" i="2"/>
  <c r="M41" i="2"/>
  <c r="N41" i="2"/>
  <c r="I42" i="2"/>
  <c r="J42" i="2"/>
  <c r="K42" i="2"/>
  <c r="L42" i="2"/>
  <c r="M42" i="2"/>
  <c r="N42" i="2"/>
  <c r="E67" i="2"/>
  <c r="F67" i="2"/>
  <c r="S67" i="2"/>
  <c r="S69" i="2"/>
  <c r="W69" i="2"/>
  <c r="T70" i="2"/>
  <c r="V70" i="2"/>
  <c r="S71" i="2"/>
  <c r="U71" i="2"/>
  <c r="V71" i="2"/>
  <c r="S72" i="2"/>
  <c r="S74" i="2"/>
  <c r="B78" i="2"/>
  <c r="S78" i="2"/>
  <c r="T78" i="2"/>
  <c r="S79" i="2"/>
  <c r="T79" i="2"/>
  <c r="S80" i="2"/>
  <c r="T80" i="2"/>
  <c r="S81" i="2"/>
  <c r="T81" i="2"/>
  <c r="S82" i="2"/>
  <c r="T82" i="2"/>
  <c r="S85" i="2"/>
  <c r="C7" i="4"/>
  <c r="I7" i="4"/>
  <c r="J7" i="4"/>
  <c r="C10" i="4"/>
  <c r="I13" i="4"/>
  <c r="J13" i="4"/>
  <c r="C14" i="4"/>
  <c r="C16" i="4"/>
  <c r="J16" i="4"/>
  <c r="C17" i="4"/>
  <c r="D38" i="4"/>
  <c r="E38" i="4"/>
  <c r="E39" i="4"/>
  <c r="E40" i="4"/>
  <c r="E41" i="4"/>
  <c r="E42" i="4"/>
  <c r="D43" i="4"/>
  <c r="E43" i="4"/>
  <c r="D44" i="4"/>
  <c r="E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E52" authorId="0" shapeId="0" xr:uid="{3088BF08-7DEF-44FF-BDB1-9B3218A293C8}">
      <text>
        <r>
          <rPr>
            <b/>
            <sz val="9"/>
            <color indexed="81"/>
            <rFont val="Tahoma"/>
            <family val="2"/>
          </rPr>
          <t>Tejjas Kumar:</t>
        </r>
        <r>
          <rPr>
            <sz val="9"/>
            <color indexed="81"/>
            <rFont val="Tahoma"/>
            <family val="2"/>
          </rPr>
          <t xml:space="preserve">
There are two (main) methods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F15" authorId="0" shapeId="0" xr:uid="{26401FE3-7F8C-40BA-B32D-A580D38B128F}">
      <text>
        <r>
          <rPr>
            <b/>
            <sz val="9"/>
            <color indexed="81"/>
            <rFont val="Tahoma"/>
            <family val="2"/>
          </rPr>
          <t>Tejjas Kumar:</t>
        </r>
        <r>
          <rPr>
            <sz val="9"/>
            <color indexed="81"/>
            <rFont val="Tahoma"/>
            <family val="2"/>
          </rPr>
          <t xml:space="preserve">
Interest Expenses Need to be filled!</t>
        </r>
      </text>
    </comment>
    <comment ref="F33" authorId="0" shapeId="0" xr:uid="{5BE2E0CE-36CC-4A3B-A6DC-C855C28BA391}">
      <text>
        <r>
          <rPr>
            <b/>
            <sz val="9"/>
            <color indexed="81"/>
            <rFont val="Tahoma"/>
            <family val="2"/>
          </rPr>
          <t>Tejjas Kumar:</t>
        </r>
        <r>
          <rPr>
            <sz val="9"/>
            <color indexed="81"/>
            <rFont val="Tahoma"/>
            <family val="2"/>
          </rPr>
          <t xml:space="preserve">
When do we generate cash flows? When do we pay down the debt?
What impact do you think this will have on IRR?</t>
        </r>
      </text>
    </comment>
    <comment ref="K60" authorId="0" shapeId="0" xr:uid="{3C544FD8-B286-4587-863D-3971DE546E8C}">
      <text>
        <r>
          <rPr>
            <b/>
            <sz val="9"/>
            <color indexed="81"/>
            <rFont val="Tahoma"/>
            <family val="2"/>
          </rPr>
          <t>Tejjas Kumar:</t>
        </r>
        <r>
          <rPr>
            <sz val="9"/>
            <color indexed="81"/>
            <rFont val="Tahoma"/>
            <family val="2"/>
          </rPr>
          <t xml:space="preserve">
Now we assume Debt Paydown as Cash-Flows are generated</t>
        </r>
      </text>
    </comment>
    <comment ref="E92" authorId="0" shapeId="0" xr:uid="{7055B37B-6259-48DD-952F-1DC651E1A7FE}">
      <text>
        <r>
          <rPr>
            <b/>
            <sz val="9"/>
            <color indexed="81"/>
            <rFont val="Tahoma"/>
            <family val="2"/>
          </rPr>
          <t>Tejjas Kumar:</t>
        </r>
        <r>
          <rPr>
            <sz val="9"/>
            <color indexed="81"/>
            <rFont val="Tahoma"/>
            <family val="2"/>
          </rPr>
          <t xml:space="preserve">
There are two (main) methods
</t>
        </r>
      </text>
    </comment>
    <comment ref="E107" authorId="0" shapeId="0" xr:uid="{D1434C98-CFBD-42A4-8FBE-CCC03F5E0715}">
      <text>
        <r>
          <rPr>
            <b/>
            <sz val="9"/>
            <color indexed="81"/>
            <rFont val="Tahoma"/>
            <family val="2"/>
          </rPr>
          <t>Tejjas Kumar:</t>
        </r>
        <r>
          <rPr>
            <sz val="9"/>
            <color indexed="81"/>
            <rFont val="Tahoma"/>
            <family val="2"/>
          </rPr>
          <t xml:space="preserve">
Debt Schedule Incomplete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M6" authorId="0" shapeId="0" xr:uid="{AFE5DD7C-5880-459E-9825-DCEC1B64D0F1}">
      <text>
        <r>
          <rPr>
            <b/>
            <sz val="9"/>
            <color indexed="81"/>
            <rFont val="Tahoma"/>
            <family val="2"/>
          </rPr>
          <t>Tejjas Kumar:</t>
        </r>
        <r>
          <rPr>
            <sz val="9"/>
            <color indexed="81"/>
            <rFont val="Tahoma"/>
            <family val="2"/>
          </rPr>
          <t xml:space="preserve">
NOTE: Model is fragile, if you wish to play around with inputs, I would recommend making a copy. </t>
        </r>
      </text>
    </comment>
    <comment ref="M11" authorId="0" shapeId="0" xr:uid="{4A8D715F-47F4-4001-AEF1-9BABCC2A851A}">
      <text>
        <r>
          <rPr>
            <b/>
            <sz val="9"/>
            <color indexed="81"/>
            <rFont val="Tahoma"/>
            <family val="2"/>
          </rPr>
          <t>Tejjas Kumar:</t>
        </r>
        <r>
          <rPr>
            <sz val="9"/>
            <color indexed="81"/>
            <rFont val="Tahoma"/>
            <family val="2"/>
          </rPr>
          <t xml:space="preserve">
Enable Iterative Calculations and Automatic Workbook Calculations (File -&gt; Options -&gt; Formulas).</t>
        </r>
      </text>
    </comment>
    <comment ref="M16" authorId="0" shapeId="0" xr:uid="{23EA4721-50FA-4575-BCD0-56CC8FF521B4}">
      <text>
        <r>
          <rPr>
            <b/>
            <sz val="9"/>
            <color indexed="81"/>
            <rFont val="Tahoma"/>
            <family val="2"/>
          </rPr>
          <t>Tejjas Kumar:</t>
        </r>
        <r>
          <rPr>
            <sz val="9"/>
            <color indexed="81"/>
            <rFont val="Tahoma"/>
            <family val="2"/>
          </rPr>
          <t xml:space="preserve">
NOTE: Some equity return figures differ as a result of a previous mistake where cash was added to net debt instead of being subtracted.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F24" authorId="0" shapeId="0" xr:uid="{830291E0-E697-417E-98E7-6F8002D77AA1}">
      <text>
        <r>
          <rPr>
            <b/>
            <sz val="9"/>
            <color indexed="81"/>
            <rFont val="Tahoma"/>
            <family val="2"/>
          </rPr>
          <t>Tejjas Kumar:</t>
        </r>
        <r>
          <rPr>
            <sz val="9"/>
            <color indexed="81"/>
            <rFont val="Tahoma"/>
            <family val="2"/>
          </rPr>
          <t xml:space="preserve">
Assuming 5 year investment horizon</t>
        </r>
      </text>
    </comment>
    <comment ref="B34" authorId="0" shapeId="0" xr:uid="{F1DCF136-A7A8-499E-AA57-24C881015E06}">
      <text>
        <r>
          <rPr>
            <b/>
            <sz val="9"/>
            <color indexed="81"/>
            <rFont val="Tahoma"/>
            <family val="2"/>
          </rPr>
          <t>Tejjas Kumar:</t>
        </r>
        <r>
          <rPr>
            <sz val="9"/>
            <color indexed="81"/>
            <rFont val="Tahoma"/>
            <family val="2"/>
          </rPr>
          <t xml:space="preserve">
All tax is assumed to be current.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C9" authorId="0" shapeId="0" xr:uid="{CFEA2C8B-60D7-4C16-9D5A-969B73F89F8B}">
      <text>
        <r>
          <rPr>
            <b/>
            <sz val="9"/>
            <color indexed="81"/>
            <rFont val="Tahoma"/>
            <family val="2"/>
          </rPr>
          <t>Tejjas Kumar:</t>
        </r>
        <r>
          <rPr>
            <sz val="9"/>
            <color indexed="81"/>
            <rFont val="Tahoma"/>
            <family val="2"/>
          </rPr>
          <t xml:space="preserve">
Projected 2024Q3Q4 and 2025Q1Q2 EBITDA</t>
        </r>
      </text>
    </comment>
    <comment ref="P9" authorId="0" shapeId="0" xr:uid="{8F619DF1-CDBD-4529-B855-435FA6948CB3}">
      <text>
        <r>
          <rPr>
            <b/>
            <sz val="9"/>
            <color indexed="81"/>
            <rFont val="Tahoma"/>
            <family val="2"/>
          </rPr>
          <t xml:space="preserve">Tejjas Kumar: </t>
        </r>
        <r>
          <rPr>
            <sz val="9"/>
            <color indexed="81"/>
            <rFont val="Tahoma"/>
            <family val="2"/>
          </rPr>
          <t>I will refinance the ST and LT Debt but not any of the leases.</t>
        </r>
      </text>
    </comment>
    <comment ref="E12" authorId="0" shapeId="0" xr:uid="{A100586F-C402-40B8-9334-A95777B2616B}">
      <text>
        <r>
          <rPr>
            <b/>
            <sz val="9"/>
            <color indexed="81"/>
            <rFont val="Tahoma"/>
            <family val="2"/>
          </rPr>
          <t>Tejjas Kumar:</t>
        </r>
        <r>
          <rPr>
            <sz val="9"/>
            <color indexed="81"/>
            <rFont val="Tahoma"/>
            <family val="2"/>
          </rPr>
          <t xml:space="preserve">
Of Equity Offer Value</t>
        </r>
      </text>
    </comment>
    <comment ref="J17" authorId="0" shapeId="0" xr:uid="{F84E8601-4827-484A-8931-C0833FA45B5E}">
      <text>
        <r>
          <rPr>
            <b/>
            <sz val="9"/>
            <color indexed="81"/>
            <rFont val="Tahoma"/>
            <family val="2"/>
          </rPr>
          <t>Tejjas Kumar:</t>
        </r>
        <r>
          <rPr>
            <sz val="9"/>
            <color indexed="81"/>
            <rFont val="Tahoma"/>
            <family val="2"/>
          </rPr>
          <t xml:space="preserve">
(of sources/uses)
</t>
        </r>
      </text>
    </comment>
    <comment ref="E25" authorId="0" shapeId="0" xr:uid="{67BC51B6-9F34-453F-9C02-94156A7AFA11}">
      <text>
        <r>
          <rPr>
            <b/>
            <sz val="9"/>
            <color indexed="81"/>
            <rFont val="Tahoma"/>
            <family val="2"/>
          </rPr>
          <t>Tejjas Kumar:</t>
        </r>
        <r>
          <rPr>
            <sz val="9"/>
            <color indexed="81"/>
            <rFont val="Tahoma"/>
            <family val="2"/>
          </rPr>
          <t xml:space="preserve">
Tough to estimate but will say midway through 2025.</t>
        </r>
      </text>
    </comment>
    <comment ref="I30" authorId="0" shapeId="0" xr:uid="{76D6F92F-0B95-47AD-8189-461A327D041F}">
      <text>
        <r>
          <rPr>
            <b/>
            <sz val="9"/>
            <color indexed="81"/>
            <rFont val="Tahoma"/>
            <family val="2"/>
          </rPr>
          <t>Tejjas Kumar:</t>
        </r>
        <r>
          <rPr>
            <sz val="9"/>
            <color indexed="81"/>
            <rFont val="Tahoma"/>
            <family val="2"/>
          </rPr>
          <t xml:space="preserve">
Note that in Japan, it is customary for companies to maintain higher cash balances than in other geographies but overall this shouldn't be expected post acquisition.</t>
        </r>
      </text>
    </comment>
    <comment ref="F48" authorId="0" shapeId="0" xr:uid="{BF1892A6-BEDA-4E0C-8D79-72D2DA9ABFD4}">
      <text>
        <r>
          <rPr>
            <b/>
            <sz val="9"/>
            <color indexed="81"/>
            <rFont val="Tahoma"/>
            <family val="2"/>
          </rPr>
          <t>Tejjas Kumar:</t>
        </r>
        <r>
          <rPr>
            <sz val="9"/>
            <color indexed="81"/>
            <rFont val="Tahoma"/>
            <family val="2"/>
          </rPr>
          <t xml:space="preserve">
2025, but only Early June onwards, hence we halve the % interest rate and % debt paydown.
</t>
        </r>
      </text>
    </comment>
    <comment ref="K48" authorId="0" shapeId="0" xr:uid="{5D63AF7C-5BDA-49C8-8F28-35C310815359}">
      <text>
        <r>
          <rPr>
            <b/>
            <sz val="9"/>
            <color indexed="81"/>
            <rFont val="Tahoma"/>
            <family val="2"/>
          </rPr>
          <t>Tejjas Kumar:</t>
        </r>
        <r>
          <rPr>
            <sz val="9"/>
            <color indexed="81"/>
            <rFont val="Tahoma"/>
            <family val="2"/>
          </rPr>
          <t xml:space="preserve">
2030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AA2" authorId="0" shapeId="0" xr:uid="{1FB8BA25-DB3B-4D3A-9CCB-42207EE02697}">
      <text>
        <r>
          <rPr>
            <b/>
            <sz val="9"/>
            <color indexed="81"/>
            <rFont val="Tahoma"/>
            <family val="2"/>
          </rPr>
          <t>Tejjas Kumar:</t>
        </r>
        <r>
          <rPr>
            <sz val="9"/>
            <color indexed="81"/>
            <rFont val="Tahoma"/>
            <family val="2"/>
          </rPr>
          <t xml:space="preserve">
Need to check how/whether CapIQ normalises Operating Income. I will aim to do this and then backsolve for D&amp;A</t>
        </r>
      </text>
    </comment>
    <comment ref="I4" authorId="0" shapeId="0" xr:uid="{EC75C6A4-4D72-4181-9F2D-3473AA1F8D4E}">
      <text>
        <r>
          <rPr>
            <b/>
            <sz val="9"/>
            <color indexed="81"/>
            <rFont val="Tahoma"/>
            <family val="2"/>
          </rPr>
          <t xml:space="preserve">Tejjas Kumar: </t>
        </r>
        <r>
          <rPr>
            <sz val="9"/>
            <color indexed="81"/>
            <rFont val="Tahoma"/>
            <family val="2"/>
          </rPr>
          <t>Note: although 2024 is over Q4 results are yet to be released</t>
        </r>
      </text>
    </comment>
    <comment ref="W4" authorId="0" shapeId="0" xr:uid="{39DF66DB-03A9-4EFD-90CA-FD86B630C9CB}">
      <text>
        <r>
          <rPr>
            <b/>
            <sz val="9"/>
            <color indexed="81"/>
            <rFont val="Tahoma"/>
            <family val="2"/>
          </rPr>
          <t>Tejjas Kumar:</t>
        </r>
        <r>
          <rPr>
            <sz val="9"/>
            <color indexed="81"/>
            <rFont val="Tahoma"/>
            <family val="2"/>
          </rPr>
          <t xml:space="preserve">
Estimating an Exit date around June 2030 | 01/06/2030</t>
        </r>
      </text>
    </comment>
    <comment ref="AJ4" authorId="0" shapeId="0" xr:uid="{F35E2071-F58E-474E-8419-749C06182388}">
      <text>
        <r>
          <rPr>
            <b/>
            <sz val="9"/>
            <color indexed="81"/>
            <rFont val="Tahoma"/>
            <family val="2"/>
          </rPr>
          <t>Tejjas Kumar:</t>
        </r>
        <r>
          <rPr>
            <sz val="9"/>
            <color indexed="81"/>
            <rFont val="Tahoma"/>
            <family val="2"/>
          </rPr>
          <t xml:space="preserve">
Will consider simply using the operating profit/EBIT Margin first since info is provided, if relatively stable over LR then it is probably better than trying to, in detail, calculate COGS.</t>
        </r>
      </text>
    </comment>
    <comment ref="R13" authorId="0" shapeId="0" xr:uid="{79D1C922-1DEA-4671-A487-0A24A734F06E}">
      <text>
        <r>
          <rPr>
            <b/>
            <sz val="9"/>
            <color indexed="81"/>
            <rFont val="Tahoma"/>
            <family val="2"/>
          </rPr>
          <t>Tejjas Kumar:</t>
        </r>
        <r>
          <rPr>
            <sz val="9"/>
            <color indexed="81"/>
            <rFont val="Tahoma"/>
            <family val="2"/>
          </rPr>
          <t xml:space="preserve">
Make sure to mention growing Operation Software Business likely with Lower GM, and then make a similar point about the Operating Margin if applicable or however it may be.</t>
        </r>
      </text>
    </comment>
    <comment ref="Q28" authorId="0" shapeId="0" xr:uid="{E3DF2970-F145-4A6A-BBB5-A788B61FE5B1}">
      <text>
        <r>
          <rPr>
            <b/>
            <sz val="9"/>
            <color indexed="81"/>
            <rFont val="Tahoma"/>
            <family val="2"/>
          </rPr>
          <t>Tejjas Kumar:</t>
        </r>
        <r>
          <rPr>
            <sz val="9"/>
            <color indexed="81"/>
            <rFont val="Tahoma"/>
            <family val="2"/>
          </rPr>
          <t xml:space="preserve">
May make an argument for divestiture or closure of the products and services division if it is less profitable and then focusing on higher GM Systems Construction arm if this is indeed optimal.</t>
        </r>
      </text>
    </comment>
    <comment ref="Q37" authorId="0" shapeId="0" xr:uid="{D3294512-5820-4D0F-9149-90ECA751E6CF}">
      <text>
        <r>
          <rPr>
            <b/>
            <sz val="9"/>
            <color indexed="81"/>
            <rFont val="Tahoma"/>
            <family val="2"/>
          </rPr>
          <t>Tejjas Kumar:</t>
        </r>
        <r>
          <rPr>
            <sz val="9"/>
            <color indexed="81"/>
            <rFont val="Tahoma"/>
            <family val="2"/>
          </rPr>
          <t xml:space="preserve">
(Notes) 1. “Others” is a business segment that is not included in the reported segments and includes the data entry business, contact center business,
and tissue engineering business, etc.</t>
        </r>
      </text>
    </comment>
    <comment ref="Q43" authorId="0" shapeId="0" xr:uid="{B7239BE1-863F-4FBA-9A0A-8ADDAFDD536F}">
      <text>
        <r>
          <rPr>
            <b/>
            <sz val="9"/>
            <color indexed="81"/>
            <rFont val="Tahoma"/>
            <family val="2"/>
          </rPr>
          <t>Tejjas Kumar:</t>
        </r>
        <r>
          <rPr>
            <sz val="9"/>
            <color indexed="81"/>
            <rFont val="Tahoma"/>
            <family val="2"/>
          </rPr>
          <t xml:space="preserve">
Explained by quicker growth in Operation Software and Control Software as opposed to products and services which explains the improvement in GM.</t>
        </r>
      </text>
    </comment>
    <comment ref="B51" authorId="0" shapeId="0" xr:uid="{32984E83-3C1C-4403-B9C8-D6E309C691E9}">
      <text>
        <r>
          <rPr>
            <b/>
            <sz val="9"/>
            <color indexed="81"/>
            <rFont val="Tahoma"/>
            <family val="2"/>
          </rPr>
          <t>Tejjas Kumar:</t>
        </r>
        <r>
          <rPr>
            <sz val="9"/>
            <color indexed="81"/>
            <rFont val="Tahoma"/>
            <family val="2"/>
          </rPr>
          <t xml:space="preserve">
average of 3 period straightline for forecast. </t>
        </r>
      </text>
    </comment>
    <comment ref="B53" authorId="0" shapeId="0" xr:uid="{344DC026-8748-4A02-AE0E-EDE0450B89C3}">
      <text>
        <r>
          <rPr>
            <b/>
            <sz val="9"/>
            <color indexed="81"/>
            <rFont val="Tahoma"/>
            <family val="2"/>
          </rPr>
          <t>Tejjas Kumar:</t>
        </r>
        <r>
          <rPr>
            <sz val="9"/>
            <color indexed="81"/>
            <rFont val="Tahoma"/>
            <family val="2"/>
          </rPr>
          <t xml:space="preserve">
Will increase slightly to represent international potential and need for further software development for example.</t>
        </r>
      </text>
    </comment>
    <comment ref="E54" authorId="0" shapeId="0" xr:uid="{D4D9EC2B-4620-49C9-93AA-D8449B58FF53}">
      <text>
        <r>
          <rPr>
            <b/>
            <sz val="9"/>
            <color indexed="81"/>
            <rFont val="Tahoma"/>
            <family val="2"/>
          </rPr>
          <t>Tejjas Kumar:</t>
        </r>
        <r>
          <rPr>
            <sz val="9"/>
            <color indexed="81"/>
            <rFont val="Tahoma"/>
            <family val="2"/>
          </rPr>
          <t xml:space="preserve">
not applied for 24/25</t>
        </r>
      </text>
    </comment>
    <comment ref="B58" authorId="0" shapeId="0" xr:uid="{EBC650D1-C8FB-458C-800B-B4922CDC5C6C}">
      <text>
        <r>
          <rPr>
            <b/>
            <sz val="9"/>
            <color indexed="81"/>
            <rFont val="Tahoma"/>
            <family val="2"/>
          </rPr>
          <t>Tejjas Kumar:</t>
        </r>
        <r>
          <rPr>
            <sz val="9"/>
            <color indexed="81"/>
            <rFont val="Tahoma"/>
            <family val="2"/>
          </rPr>
          <t xml:space="preserve">
Includes purchases of intangibles</t>
        </r>
      </text>
    </comment>
    <comment ref="I60" authorId="0" shapeId="0" xr:uid="{E8A25E88-2420-490F-B668-68061F90EAAE}">
      <text>
        <r>
          <rPr>
            <b/>
            <sz val="9"/>
            <color indexed="81"/>
            <rFont val="Tahoma"/>
            <family val="2"/>
          </rPr>
          <t>Tejjas Kumar:</t>
        </r>
        <r>
          <rPr>
            <sz val="9"/>
            <color indexed="81"/>
            <rFont val="Tahoma"/>
            <family val="2"/>
          </rPr>
          <t xml:space="preserve">
Will just set this as the TTM Margin + 45 points to align closer with consensus view.</t>
        </r>
      </text>
    </comment>
    <comment ref="W60" authorId="0" shapeId="0" xr:uid="{28B9FAC9-977B-4942-8899-FF81F20D5296}">
      <text>
        <r>
          <rPr>
            <b/>
            <sz val="9"/>
            <color indexed="81"/>
            <rFont val="Tahoma"/>
            <family val="2"/>
          </rPr>
          <t>Tejjas Kumar:</t>
        </r>
        <r>
          <rPr>
            <sz val="9"/>
            <color indexed="81"/>
            <rFont val="Tahoma"/>
            <family val="2"/>
          </rPr>
          <t xml:space="preserve">
Project Revenue Based on Growth/ Growth Potential based on Breakout of System Construction and all details, then we will estimate margins based on the operating margins provided for each segment's representation operating profit (to indicate and then adjust based on current GPM) a proportion of revenue. </t>
        </r>
      </text>
    </comment>
    <comment ref="B65" authorId="0" shapeId="0" xr:uid="{9E24D41C-C93D-4F1E-8CF9-42AD7BF2FCD1}">
      <text>
        <r>
          <rPr>
            <b/>
            <sz val="9"/>
            <color indexed="81"/>
            <rFont val="Tahoma"/>
            <family val="2"/>
          </rPr>
          <t>Tejjas Kumar:</t>
        </r>
        <r>
          <rPr>
            <sz val="9"/>
            <color indexed="81"/>
            <rFont val="Tahoma"/>
            <family val="2"/>
          </rPr>
          <t xml:space="preserve">
Note: For the historicals, we use the I/S Depreciation provided. However, for all forecast periods I will use the cash depreciation.</t>
        </r>
      </text>
    </comment>
    <comment ref="I65" authorId="0" shapeId="0" xr:uid="{0D766D58-D651-4FE6-A3FC-03679B216102}">
      <text>
        <r>
          <rPr>
            <b/>
            <sz val="9"/>
            <color indexed="81"/>
            <rFont val="Tahoma"/>
            <family val="2"/>
          </rPr>
          <t>Tejjas Kumar:</t>
        </r>
        <r>
          <rPr>
            <sz val="9"/>
            <color indexed="81"/>
            <rFont val="Tahoma"/>
            <family val="2"/>
          </rPr>
          <t xml:space="preserve">
Set to TTM for now. May change later based on analyst estimates once I have the revenue built.</t>
        </r>
      </text>
    </comment>
    <comment ref="O65" authorId="0" shapeId="0" xr:uid="{1CEC7001-3A6B-484C-99EA-FC5DEB6E6606}">
      <text>
        <r>
          <rPr>
            <b/>
            <sz val="9"/>
            <color indexed="81"/>
            <rFont val="Tahoma"/>
            <family val="2"/>
          </rPr>
          <t>Tejjas Kumar:</t>
        </r>
        <r>
          <rPr>
            <sz val="9"/>
            <color indexed="81"/>
            <rFont val="Tahoma"/>
            <family val="2"/>
          </rPr>
          <t xml:space="preserve">
With a higher CapEx margin (and hence depreciable PPE/ intangibles) I will expect D&amp;A to increase closer to the CapEx margin but not reach it yet.</t>
        </r>
      </text>
    </comment>
    <comment ref="B67" authorId="0" shapeId="0" xr:uid="{8860563D-3EB8-4AFF-99F7-6E010EC56666}">
      <text>
        <r>
          <rPr>
            <b/>
            <sz val="9"/>
            <color indexed="81"/>
            <rFont val="Tahoma"/>
            <family val="2"/>
          </rPr>
          <t>Tejjas Kumar:</t>
        </r>
        <r>
          <rPr>
            <sz val="9"/>
            <color indexed="81"/>
            <rFont val="Tahoma"/>
            <family val="2"/>
          </rPr>
          <t xml:space="preserve">
Difficult to estimate. Hence I will simply take the historical average and grow it by 1% per year with the view that under the sponsor, investing in securities will be faded out.</t>
        </r>
      </text>
    </comment>
    <comment ref="X72" authorId="0" shapeId="0" xr:uid="{477A196B-E02F-4483-AF69-7DB7F5CD0078}">
      <text>
        <r>
          <rPr>
            <b/>
            <sz val="9"/>
            <color indexed="81"/>
            <rFont val="Tahoma"/>
            <family val="2"/>
          </rPr>
          <t>Tejjas Kumar:</t>
        </r>
        <r>
          <rPr>
            <sz val="9"/>
            <color indexed="81"/>
            <rFont val="Tahoma"/>
            <family val="2"/>
          </rPr>
          <t xml:space="preserve">
Need to check Revenue by Geography as well to better understand the potential of a US IPO to realise a much higher valuation.</t>
        </r>
      </text>
    </comment>
    <comment ref="AF88" authorId="0" shapeId="0" xr:uid="{61C9D3B3-5AF7-4C22-B052-09D74B1F51FB}">
      <text>
        <r>
          <rPr>
            <b/>
            <sz val="9"/>
            <color indexed="81"/>
            <rFont val="Tahoma"/>
            <family val="2"/>
          </rPr>
          <t>Tejjas Kumar:</t>
        </r>
        <r>
          <rPr>
            <sz val="9"/>
            <color indexed="81"/>
            <rFont val="Tahoma"/>
            <family val="2"/>
          </rPr>
          <t xml:space="preserve">
FQR TTM. I am OK to include it for averages since it has 3q of info and more recent weightage is fine.</t>
        </r>
      </text>
    </comment>
    <comment ref="AC102" authorId="0" shapeId="0" xr:uid="{D2A6551B-921D-4A20-BE82-8C51CE822C69}">
      <text>
        <r>
          <rPr>
            <b/>
            <sz val="9"/>
            <color indexed="81"/>
            <rFont val="Tahoma"/>
            <family val="2"/>
          </rPr>
          <t>Tejjas Kumar:</t>
        </r>
        <r>
          <rPr>
            <sz val="9"/>
            <color indexed="81"/>
            <rFont val="Tahoma"/>
            <family val="2"/>
          </rPr>
          <t xml:space="preserve">
Idea to pitch the stock?? If IRR is still great at a significantly higher </t>
        </r>
      </text>
    </comment>
    <comment ref="AF171" authorId="0" shapeId="0" xr:uid="{9D596FB5-8086-40D3-81CB-69A1904CD492}">
      <text>
        <r>
          <rPr>
            <b/>
            <sz val="9"/>
            <color indexed="81"/>
            <rFont val="Tahoma"/>
            <family val="2"/>
          </rPr>
          <t>Tejjas Kumar:</t>
        </r>
        <r>
          <rPr>
            <sz val="9"/>
            <color indexed="81"/>
            <rFont val="Tahoma"/>
            <family val="2"/>
          </rPr>
          <t xml:space="preserve">
FQR TTM. I am OK to include it for averages since it has 3q of info and more recent weightage is fine.</t>
        </r>
      </text>
    </comment>
    <comment ref="AK229" authorId="0" shapeId="0" xr:uid="{5DF2EE3F-BCED-401A-AF86-B5540B954728}">
      <text>
        <r>
          <rPr>
            <b/>
            <sz val="9"/>
            <color indexed="81"/>
            <rFont val="Tahoma"/>
            <family val="2"/>
          </rPr>
          <t>Tejjas Kumar:</t>
        </r>
        <r>
          <rPr>
            <sz val="9"/>
            <color indexed="81"/>
            <rFont val="Tahoma"/>
            <family val="2"/>
          </rPr>
          <t xml:space="preserve">
FQ3 TTM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Tejjas Kumar</author>
  </authors>
  <commentList>
    <comment ref="J47" authorId="0" shapeId="0" xr:uid="{8462F0E0-B4B2-48A4-886D-62CC564AD5E1}">
      <text>
        <r>
          <rPr>
            <b/>
            <sz val="9"/>
            <color indexed="81"/>
            <rFont val="Tahoma"/>
            <family val="2"/>
          </rPr>
          <t>Tejjas Kumar:</t>
        </r>
        <r>
          <rPr>
            <sz val="9"/>
            <color indexed="81"/>
            <rFont val="Tahoma"/>
            <family val="2"/>
          </rPr>
          <t xml:space="preserve">
Here the discrepency is due to cash depreciation vs I/S D&amp;A in historical IS.</t>
        </r>
      </text>
    </comment>
    <comment ref="B56" authorId="0" shapeId="0" xr:uid="{F67209E4-06D9-4955-8A5E-C702D95C6EDF}">
      <text>
        <r>
          <rPr>
            <b/>
            <sz val="9"/>
            <color indexed="81"/>
            <rFont val="Tahoma"/>
            <family val="2"/>
          </rPr>
          <t>Tejjas Kumar:</t>
        </r>
        <r>
          <rPr>
            <sz val="9"/>
            <color indexed="81"/>
            <rFont val="Tahoma"/>
            <family val="2"/>
          </rPr>
          <t xml:space="preserve">
Historicals Normalised but tax impact not taken care of. Would not be especially significant.</t>
        </r>
      </text>
    </comment>
    <comment ref="G140" authorId="0" shapeId="0" xr:uid="{925B8211-EEA7-4D1C-98A6-08935BF82D63}">
      <text>
        <r>
          <rPr>
            <b/>
            <sz val="9"/>
            <color indexed="81"/>
            <rFont val="Tahoma"/>
            <family val="2"/>
          </rPr>
          <t>Tejjas Kumar:</t>
        </r>
        <r>
          <rPr>
            <sz val="9"/>
            <color indexed="81"/>
            <rFont val="Tahoma"/>
            <family val="2"/>
          </rPr>
          <t xml:space="preserve">
Again, for simplicity I will extrapolate the change in the total debt balance for Q4 and then do subsequent calculations from there.</t>
        </r>
      </text>
    </comment>
    <comment ref="K145" authorId="0" shapeId="0" xr:uid="{9373F51F-2DB7-40CD-9D9D-D8B4A1FB5999}">
      <text>
        <r>
          <rPr>
            <b/>
            <sz val="9"/>
            <color indexed="81"/>
            <rFont val="Tahoma"/>
            <family val="2"/>
          </rPr>
          <t>Tejjas Kumar:</t>
        </r>
        <r>
          <rPr>
            <sz val="9"/>
            <color indexed="81"/>
            <rFont val="Tahoma"/>
            <family val="2"/>
          </rPr>
          <t xml:space="preserve">
0 since it will be refinanced. No further repayment / issuance forecast until acquistion</t>
        </r>
      </text>
    </comment>
    <comment ref="B149" authorId="0" shapeId="0" xr:uid="{35A79946-57C6-4797-B303-61AE20AE1102}">
      <text>
        <r>
          <rPr>
            <b/>
            <sz val="9"/>
            <color indexed="81"/>
            <rFont val="Tahoma"/>
            <family val="2"/>
          </rPr>
          <t>Tejjas Kumar:</t>
        </r>
        <r>
          <rPr>
            <sz val="9"/>
            <color indexed="81"/>
            <rFont val="Tahoma"/>
            <family val="2"/>
          </rPr>
          <t xml:space="preserve">
Taken from YTM on existing debt, using 2024FQ3 figures. + 25 points for 2025.</t>
        </r>
      </text>
    </comment>
    <comment ref="F162" authorId="0" shapeId="0" xr:uid="{67905927-8ECA-45D1-A074-429CCC1BCCA0}">
      <text>
        <r>
          <rPr>
            <b/>
            <sz val="9"/>
            <color indexed="81"/>
            <rFont val="Tahoma"/>
            <family val="2"/>
          </rPr>
          <t>Tejjas Kumar:</t>
        </r>
        <r>
          <rPr>
            <sz val="9"/>
            <color indexed="81"/>
            <rFont val="Tahoma"/>
            <family val="2"/>
          </rPr>
          <t xml:space="preserve">
To represent the transaction closing at the end of Q2 2025, I take half interest on 2025 figures from all post-acquisition debt.</t>
        </r>
      </text>
    </comment>
    <comment ref="E310" authorId="0" shapeId="0" xr:uid="{FD0F5A16-7F50-4DBE-A178-050C5D944F19}">
      <text>
        <r>
          <rPr>
            <b/>
            <sz val="9"/>
            <color indexed="81"/>
            <rFont val="Tahoma"/>
            <family val="2"/>
          </rPr>
          <t>Tejjas Kumar:</t>
        </r>
        <r>
          <rPr>
            <sz val="9"/>
            <color indexed="81"/>
            <rFont val="Tahoma"/>
            <family val="2"/>
          </rPr>
          <t xml:space="preserve">
Beginning Balance is set equal to Fees</t>
        </r>
      </text>
    </comment>
    <comment ref="R331" authorId="0" shapeId="0" xr:uid="{08B08E75-A53D-4A63-B6CE-87B32BDB0444}">
      <text>
        <r>
          <rPr>
            <b/>
            <sz val="9"/>
            <color indexed="81"/>
            <rFont val="Tahoma"/>
            <family val="2"/>
          </rPr>
          <t>Tejjas Kumar:</t>
        </r>
        <r>
          <rPr>
            <sz val="9"/>
            <color indexed="81"/>
            <rFont val="Tahoma"/>
            <family val="2"/>
          </rPr>
          <t xml:space="preserve">
Here cash was previously added to compute net debt, mistake has been corrected</t>
        </r>
      </text>
    </comment>
  </commentList>
</comments>
</file>

<file path=xl/sharedStrings.xml><?xml version="1.0" encoding="utf-8"?>
<sst xmlns="http://schemas.openxmlformats.org/spreadsheetml/2006/main" count="1737" uniqueCount="554">
  <si>
    <t>Fujisoft LBO Model</t>
  </si>
  <si>
    <t>https://www.lsepes.com/reports</t>
  </si>
  <si>
    <t>https://www.linkedin.com/company/lsesu-private-equity-society/</t>
  </si>
  <si>
    <t xml:space="preserve"> </t>
  </si>
  <si>
    <t>Purchase Price</t>
  </si>
  <si>
    <t>Sources and Uses of Cash</t>
  </si>
  <si>
    <t>All figures in JPY millions unless stated</t>
  </si>
  <si>
    <t>EBITDA Multiples</t>
  </si>
  <si>
    <t>Sources</t>
  </si>
  <si>
    <t>Multiple</t>
  </si>
  <si>
    <t>Amount</t>
  </si>
  <si>
    <t>Uses</t>
  </si>
  <si>
    <t xml:space="preserve">Entry EV/EBITDA </t>
  </si>
  <si>
    <t>Cash (Target)</t>
  </si>
  <si>
    <t>Equity Offer Value</t>
  </si>
  <si>
    <t>Exit EV/EBITDA</t>
  </si>
  <si>
    <t>Revolving Credit Line</t>
  </si>
  <si>
    <t>Debt Refinancing</t>
  </si>
  <si>
    <t>EBITDA</t>
  </si>
  <si>
    <t>Term Loan A (Senior Debt)</t>
  </si>
  <si>
    <t>Fees</t>
  </si>
  <si>
    <t>Term Loan B (Senior Debt)</t>
  </si>
  <si>
    <t>Total Uses</t>
  </si>
  <si>
    <t>Enterprise and Equity Offer Value</t>
  </si>
  <si>
    <t>Subordinated Debt (PIK)</t>
  </si>
  <si>
    <t>Management Rollover</t>
  </si>
  <si>
    <t>Net Debt</t>
  </si>
  <si>
    <t>Sponsor Equity</t>
  </si>
  <si>
    <t>Implied Enterprise Value</t>
  </si>
  <si>
    <t>Total Sources</t>
  </si>
  <si>
    <t>Shares Outstanding (000s)</t>
  </si>
  <si>
    <t>Proportion of Leverage</t>
  </si>
  <si>
    <t>JPY¥/Share Offer</t>
  </si>
  <si>
    <t>Share Price Before News</t>
  </si>
  <si>
    <t>Premium / (Discount)</t>
  </si>
  <si>
    <t xml:space="preserve">  </t>
  </si>
  <si>
    <t>Overview</t>
  </si>
  <si>
    <t>Equity Investment</t>
  </si>
  <si>
    <t>Internal Rate of Return (IRR)</t>
  </si>
  <si>
    <t>Multiple on Invested Capital (MOIC)</t>
  </si>
  <si>
    <t>Credit Metrics</t>
  </si>
  <si>
    <t>Financial Projections</t>
  </si>
  <si>
    <t>Tax Expense</t>
  </si>
  <si>
    <t>CapEx</t>
  </si>
  <si>
    <t>Total Interest Expense</t>
  </si>
  <si>
    <t>Mandatory Principal Repayments</t>
  </si>
  <si>
    <t>Total Debt</t>
  </si>
  <si>
    <t>Cash</t>
  </si>
  <si>
    <t>Total Debt/ EBITDA</t>
  </si>
  <si>
    <t>Debt Service Coverage Ratio</t>
  </si>
  <si>
    <t>EBITDA Growth and Debt Paydown ($ millions)</t>
  </si>
  <si>
    <t xml:space="preserve">Credit Metrics </t>
  </si>
  <si>
    <t>Return Analysis</t>
  </si>
  <si>
    <t>Gross Profit Margin</t>
  </si>
  <si>
    <t>TIBOR (%)</t>
  </si>
  <si>
    <t>IRR and MOIC (Exit Multiple)</t>
  </si>
  <si>
    <t>Equity Returns by Investment Horizon</t>
  </si>
  <si>
    <t>Return Attribution</t>
  </si>
  <si>
    <t>Entry</t>
  </si>
  <si>
    <t>Exit</t>
  </si>
  <si>
    <t>Change</t>
  </si>
  <si>
    <t>Multiplier</t>
  </si>
  <si>
    <t>Beginning Equity</t>
  </si>
  <si>
    <t>Ending Equity</t>
  </si>
  <si>
    <t>Ending Equity = Model</t>
  </si>
  <si>
    <t>IRR (Term Loan EBITDA Multiples)</t>
  </si>
  <si>
    <t>Term Loan A</t>
  </si>
  <si>
    <t>Investor Returns</t>
  </si>
  <si>
    <t>IRR</t>
  </si>
  <si>
    <t>MOIC</t>
  </si>
  <si>
    <t>Term Loan B</t>
  </si>
  <si>
    <t>Sensitivity Inputs</t>
  </si>
  <si>
    <t>Entry EV/EBITDA</t>
  </si>
  <si>
    <t>Term Loan A Multiple</t>
  </si>
  <si>
    <t>Revolving Credit Line (Amount Drawn, JPY Millions)</t>
  </si>
  <si>
    <t>Financing Terms Evolution</t>
  </si>
  <si>
    <t>Term Loan B Multiple</t>
  </si>
  <si>
    <t>Margin Improvements (Base Case)</t>
  </si>
  <si>
    <t>Revenue Growth (JPY Millions)</t>
  </si>
  <si>
    <t>Revenue</t>
  </si>
  <si>
    <t>CAGR</t>
  </si>
  <si>
    <t>Closing Debt Balances</t>
  </si>
  <si>
    <t>Entry EV/EBITDA (Implied)</t>
  </si>
  <si>
    <t>Entry multiple = Exit Multiple?</t>
  </si>
  <si>
    <t>Cash &amp; ST Investments</t>
  </si>
  <si>
    <t>Sources = Uses?</t>
  </si>
  <si>
    <t>Implied Enterprise Value Offer</t>
  </si>
  <si>
    <t>Other Inputs</t>
  </si>
  <si>
    <t>General Inputs</t>
  </si>
  <si>
    <t>First Forecast Fiscal Year (Model)</t>
  </si>
  <si>
    <t>Debt Restructuring</t>
  </si>
  <si>
    <t>First Forecast Fiscal Year (Transaction)</t>
  </si>
  <si>
    <t>Debt Financing</t>
  </si>
  <si>
    <t>Transaction Close Date</t>
  </si>
  <si>
    <t>Equity Financing</t>
  </si>
  <si>
    <t>First Year of Forecast</t>
  </si>
  <si>
    <t>Advisory / Closing Fees</t>
  </si>
  <si>
    <t>Total Fees</t>
  </si>
  <si>
    <t>Days in Period</t>
  </si>
  <si>
    <t>Tax Rate</t>
  </si>
  <si>
    <t>Minimum Cash Balance</t>
  </si>
  <si>
    <t>Interest Rate on Deposits</t>
  </si>
  <si>
    <t>Financing Assumptions</t>
  </si>
  <si>
    <r>
      <t>(</t>
    </r>
    <r>
      <rPr>
        <b/>
        <sz val="11"/>
        <color rgb="FF000000"/>
        <rFont val="Aptos"/>
        <family val="2"/>
      </rPr>
      <t>TIBOR)</t>
    </r>
  </si>
  <si>
    <t>Issuance</t>
  </si>
  <si>
    <t>Standby</t>
  </si>
  <si>
    <t>Floating</t>
  </si>
  <si>
    <t>Fixed</t>
  </si>
  <si>
    <t>Type</t>
  </si>
  <si>
    <t>Percent</t>
  </si>
  <si>
    <t>Limit</t>
  </si>
  <si>
    <t>Fee %</t>
  </si>
  <si>
    <t>Fee</t>
  </si>
  <si>
    <t>Coupon</t>
  </si>
  <si>
    <t>N/A</t>
  </si>
  <si>
    <t>Sponsor Equity + Mgmt. Rollover</t>
  </si>
  <si>
    <t>PIK</t>
  </si>
  <si>
    <t>Mandatory Principal Repayment</t>
  </si>
  <si>
    <t>Debt Type</t>
  </si>
  <si>
    <t>Rate</t>
  </si>
  <si>
    <t>Sweep</t>
  </si>
  <si>
    <t>Model Drivers</t>
  </si>
  <si>
    <t>Driver Switch</t>
  </si>
  <si>
    <t>2022A</t>
  </si>
  <si>
    <t>2023 Revenue Extract</t>
  </si>
  <si>
    <t>2022 Revenue Extract</t>
  </si>
  <si>
    <t>Revenue Growth (Implied)</t>
  </si>
  <si>
    <t>System Integration Business Revenue Growth (Implied)</t>
  </si>
  <si>
    <t>System Construction Growth (Implied)</t>
  </si>
  <si>
    <t>Embedded/Control Software</t>
  </si>
  <si>
    <t>Best Case</t>
  </si>
  <si>
    <t>Base Case</t>
  </si>
  <si>
    <t>Worst Case</t>
  </si>
  <si>
    <t>Operation Software</t>
  </si>
  <si>
    <t>Products and Services Growth (Implied)</t>
  </si>
  <si>
    <t>Products and Services</t>
  </si>
  <si>
    <t>Outsourcing</t>
  </si>
  <si>
    <t>Median Revenue Forecast (CapIQ)</t>
  </si>
  <si>
    <t>Facility Business Growth</t>
  </si>
  <si>
    <t>YoY Growth (%)</t>
  </si>
  <si>
    <t>Other Businesses Growth</t>
  </si>
  <si>
    <t>2024 2Q</t>
  </si>
  <si>
    <t>COGS Margin</t>
  </si>
  <si>
    <t>SG&amp;A Margin</t>
  </si>
  <si>
    <t>Other Operating Expense Margin</t>
  </si>
  <si>
    <t>R&amp;D Margin</t>
  </si>
  <si>
    <t>Capital Expenditures Margin</t>
  </si>
  <si>
    <t>Purchases of Intangibles</t>
  </si>
  <si>
    <t>Depreciation and Amortisation Margin</t>
  </si>
  <si>
    <t>Investment Income</t>
  </si>
  <si>
    <t>Working Capital</t>
  </si>
  <si>
    <t>Accounts Receivables</t>
  </si>
  <si>
    <t>(Days)</t>
  </si>
  <si>
    <t>Inventories</t>
  </si>
  <si>
    <t>Accounts Payable</t>
  </si>
  <si>
    <t>Other (Operating) Current Assets</t>
  </si>
  <si>
    <t>(% of Sales)</t>
  </si>
  <si>
    <t>Accrued Expenses</t>
  </si>
  <si>
    <t>Other (Operating) Current Liabilities</t>
  </si>
  <si>
    <t>Financing</t>
  </si>
  <si>
    <t>Recommended: S&amp;P Capital IQ - Standard</t>
  </si>
  <si>
    <t>2020 FY</t>
  </si>
  <si>
    <t>2021 FY</t>
  </si>
  <si>
    <t>2022 FY</t>
  </si>
  <si>
    <t>2023 FY</t>
  </si>
  <si>
    <t>2024 FQ3 LTM</t>
  </si>
  <si>
    <t>Current/Restated</t>
  </si>
  <si>
    <t>Period Ended</t>
  </si>
  <si>
    <t>Financial Filing Date</t>
  </si>
  <si>
    <t>Tokyo Interbank Offered Rate (TIBOR)</t>
  </si>
  <si>
    <t>(basis points)</t>
  </si>
  <si>
    <t>Reported Currency Code</t>
  </si>
  <si>
    <t>JPY</t>
  </si>
  <si>
    <t>Revolving Credit Line Interest Rate</t>
  </si>
  <si>
    <t>(¥M)</t>
  </si>
  <si>
    <t>Spread</t>
  </si>
  <si>
    <t xml:space="preserve">        Total Revenue</t>
  </si>
  <si>
    <t>Term Loan A Interest Rate</t>
  </si>
  <si>
    <t>Cost Of Goods Sold</t>
  </si>
  <si>
    <t xml:space="preserve">        Gross Profit</t>
  </si>
  <si>
    <t>Term Loan B Interest Rate</t>
  </si>
  <si>
    <t>Selling General &amp; Admin Exp.</t>
  </si>
  <si>
    <t>Provision for Bad Debts</t>
  </si>
  <si>
    <t>R &amp; D Exp.</t>
  </si>
  <si>
    <t>Depreciation &amp; Amort.</t>
  </si>
  <si>
    <t>Interest Rate</t>
  </si>
  <si>
    <t>Amort. of Goodwill and Intangibles</t>
  </si>
  <si>
    <t>Other Operating Expense</t>
  </si>
  <si>
    <t>Equity Issuance / (Repurchase)</t>
  </si>
  <si>
    <t xml:space="preserve">        Other Operating Exp., Total</t>
  </si>
  <si>
    <t xml:space="preserve">        Operating Income</t>
  </si>
  <si>
    <t>Dividends</t>
  </si>
  <si>
    <t>Interest Expense</t>
  </si>
  <si>
    <t>Interest and Invest. Income</t>
  </si>
  <si>
    <t xml:space="preserve">        Net Interest Exp.</t>
  </si>
  <si>
    <t>Income from Affiliates</t>
  </si>
  <si>
    <t>Currency Exchange Gains</t>
  </si>
  <si>
    <t>Other Non-Operating Inc.</t>
  </si>
  <si>
    <t xml:space="preserve">        EBT Excl Unusual Items</t>
  </si>
  <si>
    <t>Gain (Loss) On Sale Of Invest.</t>
  </si>
  <si>
    <t>Gain (Loss) On Sale Of Assets</t>
  </si>
  <si>
    <t>Asset Writedown</t>
  </si>
  <si>
    <t>Other Unusual Items</t>
  </si>
  <si>
    <t xml:space="preserve">        EBT Incl. Unusual Items</t>
  </si>
  <si>
    <t>Income Tax Expense</t>
  </si>
  <si>
    <t xml:space="preserve">        Earnings from Cont. Ops.</t>
  </si>
  <si>
    <t xml:space="preserve">        Net Income to Company</t>
  </si>
  <si>
    <t>Minority Int. in Earnings</t>
  </si>
  <si>
    <t xml:space="preserve">        Net Income</t>
  </si>
  <si>
    <t xml:space="preserve">        NI to Common Incl Extra Items</t>
  </si>
  <si>
    <t xml:space="preserve">        NI to Common Excl. Extra Items</t>
  </si>
  <si>
    <t>Per Share Items (¥)</t>
  </si>
  <si>
    <t>Basic EPS</t>
  </si>
  <si>
    <t>Basic EPS Excl. Extra Items</t>
  </si>
  <si>
    <t>Weighted Avg. Basic Shares Out. (actual)</t>
  </si>
  <si>
    <t>Diluted EPS Incl. Extra Items</t>
  </si>
  <si>
    <t>Diluted EPS Excl. Extra Items</t>
  </si>
  <si>
    <t>Weighted Avg. Diluted Shares Out. (actual)</t>
  </si>
  <si>
    <t>Normalized Basic EPS</t>
  </si>
  <si>
    <t>Normalized Diluted EPS</t>
  </si>
  <si>
    <t>Dividends per Share</t>
  </si>
  <si>
    <t>Payout Ratio (%)</t>
  </si>
  <si>
    <t>Supplemental Items (¥M)</t>
  </si>
  <si>
    <t>EBITA</t>
  </si>
  <si>
    <t>EBIT</t>
  </si>
  <si>
    <t>EBITDAR</t>
  </si>
  <si>
    <t>Effective Tax Rate (%)</t>
  </si>
  <si>
    <t>Normalized Net Income</t>
  </si>
  <si>
    <t>Non-Cash Pension Expense</t>
  </si>
  <si>
    <t>Supplemental Operating Expense Items (¥M)</t>
  </si>
  <si>
    <t>Advertising Expense</t>
  </si>
  <si>
    <t>Selling and Marketing Expense</t>
  </si>
  <si>
    <t>General and Administrative Expense</t>
  </si>
  <si>
    <t>R&amp;D Expense</t>
  </si>
  <si>
    <t>Net Rental Expense, Total</t>
  </si>
  <si>
    <t>Imputed Oper. Lease Interest Exp.</t>
  </si>
  <si>
    <t>Imputed Oper. Lease Depreciation</t>
  </si>
  <si>
    <t>CIQ Restatement Type Code</t>
  </si>
  <si>
    <t>O</t>
  </si>
  <si>
    <t>CIQ Calculation Type Code</t>
  </si>
  <si>
    <t>REP</t>
  </si>
  <si>
    <t>Options Outstanding</t>
  </si>
  <si>
    <t>Options Out. at the Begin of Period, Common Stock</t>
  </si>
  <si>
    <t>Options Granted During the Period, Common Stock</t>
  </si>
  <si>
    <t>NA</t>
  </si>
  <si>
    <t>Options Exercised During the Period, Common Stock</t>
  </si>
  <si>
    <t>Options Out. at the End of Period, Common Stock</t>
  </si>
  <si>
    <t>Options Wtd Avg Strike Price of Outstd, Comm Stock (¥)</t>
  </si>
  <si>
    <t>Wtd Avg Strike Price of Granted, Comm Stock (¥)</t>
  </si>
  <si>
    <t>Options Outstanding - All Classes</t>
  </si>
  <si>
    <t>Options Out. at the Beginning of the Period, Total</t>
  </si>
  <si>
    <t>Options Granted During the Period, Total</t>
  </si>
  <si>
    <t>Options Exercised During the Period, Total</t>
  </si>
  <si>
    <t>Options Out. at the End of the Period, Total</t>
  </si>
  <si>
    <t>Stock Based Compensation (¥M)</t>
  </si>
  <si>
    <t>Stock Options Comp. Exp., Before Tax</t>
  </si>
  <si>
    <t>Operating Activities (¥M)</t>
  </si>
  <si>
    <t>Net Income - CF</t>
  </si>
  <si>
    <t>Capex</t>
  </si>
  <si>
    <t>D&amp;A</t>
  </si>
  <si>
    <t xml:space="preserve">        Depreciation &amp; Amort., Total</t>
  </si>
  <si>
    <t>Intangibles</t>
  </si>
  <si>
    <t>(Gain) Loss From Sale Of Assets</t>
  </si>
  <si>
    <t>Loss On Sale Of Investment</t>
  </si>
  <si>
    <t>Loss on Equity Investment</t>
  </si>
  <si>
    <t>Other Operating Activities</t>
  </si>
  <si>
    <t>Change in Acc. Receivable</t>
  </si>
  <si>
    <t>Change In Inventories</t>
  </si>
  <si>
    <t>Change in Acc. Payable</t>
  </si>
  <si>
    <t>Change in Other Net Operating Assets</t>
  </si>
  <si>
    <t xml:space="preserve">        Cash from Ops.</t>
  </si>
  <si>
    <t>Investing Activity (¥M)</t>
  </si>
  <si>
    <t>Capital Expenditure</t>
  </si>
  <si>
    <t>Sale of Property, Plant and Equipment</t>
  </si>
  <si>
    <t>Cash Acquisitions</t>
  </si>
  <si>
    <t>Divestitures</t>
  </si>
  <si>
    <t>Sale (Purchase) of Intangible assets</t>
  </si>
  <si>
    <t>Invest. in Marketable &amp; Equity Securt.</t>
  </si>
  <si>
    <t>Other Investing Activities</t>
  </si>
  <si>
    <t xml:space="preserve">        Cash from Investing</t>
  </si>
  <si>
    <t>Financing Activity (¥M)</t>
  </si>
  <si>
    <t>Short Term Debt Issued</t>
  </si>
  <si>
    <t>Long-Term Debt Issued</t>
  </si>
  <si>
    <t xml:space="preserve">        Total Debt Issued</t>
  </si>
  <si>
    <t>Short Term Debt Repaid</t>
  </si>
  <si>
    <t>Long-Term Debt Repaid</t>
  </si>
  <si>
    <t xml:space="preserve">        Total Debt Repaid</t>
  </si>
  <si>
    <t>Repurchase of Common Stock</t>
  </si>
  <si>
    <t>Common and/or Pref. Dividends Paid</t>
  </si>
  <si>
    <t xml:space="preserve">        Total Dividends Paid</t>
  </si>
  <si>
    <t>Other Financing Activities</t>
  </si>
  <si>
    <t xml:space="preserve">        Cash from Financing</t>
  </si>
  <si>
    <t>Other Cash Flow (¥M)</t>
  </si>
  <si>
    <t>Foreign Exchange Rate Adj.</t>
  </si>
  <si>
    <t>Misc. Cash Flow Adj.</t>
  </si>
  <si>
    <t xml:space="preserve">        Net Change in Cash</t>
  </si>
  <si>
    <t>Cash Interest Paid</t>
  </si>
  <si>
    <t>Cash Taxes Paid</t>
  </si>
  <si>
    <t>Levered Free Cash Flow</t>
  </si>
  <si>
    <t>Unlevered Free Cash Flow</t>
  </si>
  <si>
    <t>Change in Net Working Capital</t>
  </si>
  <si>
    <t>Net Debt Issued</t>
  </si>
  <si>
    <t>2024 FQ3</t>
  </si>
  <si>
    <t>Working Capital Calculations</t>
  </si>
  <si>
    <t>Days In Period</t>
  </si>
  <si>
    <t>Assets (¥M)</t>
  </si>
  <si>
    <t>AVERAGE</t>
  </si>
  <si>
    <t>Cash and Equivalents</t>
  </si>
  <si>
    <t>Short Term Investments</t>
  </si>
  <si>
    <t xml:space="preserve">        Cash &amp; Short Term Investments</t>
  </si>
  <si>
    <t>Accounts Receivable</t>
  </si>
  <si>
    <t xml:space="preserve">        Total Receivables</t>
  </si>
  <si>
    <t>Inventory</t>
  </si>
  <si>
    <t>Other Current Assets</t>
  </si>
  <si>
    <t xml:space="preserve">        Total Current Assets</t>
  </si>
  <si>
    <t xml:space="preserve">        Net Property, Plant &amp; Equipment</t>
  </si>
  <si>
    <t>Long-term Investments</t>
  </si>
  <si>
    <t>Goodwill</t>
  </si>
  <si>
    <t>Other Intangibles</t>
  </si>
  <si>
    <t>Deferred Tax Assets, LT</t>
  </si>
  <si>
    <t>Other Long-Term Assets</t>
  </si>
  <si>
    <t>Total Assets</t>
  </si>
  <si>
    <t>Liabilities (¥M)</t>
  </si>
  <si>
    <t>Accrued Exp.</t>
  </si>
  <si>
    <t>Short-term Borrowings</t>
  </si>
  <si>
    <t>Curr. Port. of LT Debt</t>
  </si>
  <si>
    <t>Curr. Income Taxes Payable</t>
  </si>
  <si>
    <t>Other Current Liabilities</t>
  </si>
  <si>
    <t xml:space="preserve">        Total Current Liabilities</t>
  </si>
  <si>
    <t>Long-Term Debt</t>
  </si>
  <si>
    <t>Pension &amp; Other Post-Retire. Benefits</t>
  </si>
  <si>
    <t>Def. Tax Liability, Non-Curr.</t>
  </si>
  <si>
    <t>Other Non-Current Liabilities</t>
  </si>
  <si>
    <t>Total Liabilities</t>
  </si>
  <si>
    <t>Equity (¥M)</t>
  </si>
  <si>
    <t>Common Stock</t>
  </si>
  <si>
    <t>Additional Paid In Capital</t>
  </si>
  <si>
    <t>Retained Earnings</t>
  </si>
  <si>
    <t>Treasury Stock</t>
  </si>
  <si>
    <t>Comprehensive Inc. and Other</t>
  </si>
  <si>
    <t xml:space="preserve">        Total Common Equity</t>
  </si>
  <si>
    <t>Total Minority Interest</t>
  </si>
  <si>
    <t>Total Equity</t>
  </si>
  <si>
    <t>Total Liabilities And Equity</t>
  </si>
  <si>
    <t>Supplemental Items (¥)</t>
  </si>
  <si>
    <t>ECS Total Shares Outstanding on Filing Date (actual)</t>
  </si>
  <si>
    <t>ECS Total Common Shares Outstanding (actual)</t>
  </si>
  <si>
    <t>Book Value per Share</t>
  </si>
  <si>
    <t>Tangible Book Value</t>
  </si>
  <si>
    <t>Tangible Book Value per Share</t>
  </si>
  <si>
    <t>Debt Equiv. of Unfunded Proj. Benefit Obligation</t>
  </si>
  <si>
    <t>Debt Equivalent Oper. Leases</t>
  </si>
  <si>
    <t>Raw Materials Inventory</t>
  </si>
  <si>
    <t>Work in Progress Inventory</t>
  </si>
  <si>
    <t>Finished Goods Inventory</t>
  </si>
  <si>
    <t>P</t>
  </si>
  <si>
    <t>Full Time Employees (actual)</t>
  </si>
  <si>
    <t>Accumulated Allowance for Doubtful Accounts</t>
  </si>
  <si>
    <t>Order Backlog</t>
  </si>
  <si>
    <t>Fair Value Measurements (¥M)</t>
  </si>
  <si>
    <t>Level 1 Assets - Quoted Prices</t>
  </si>
  <si>
    <t>Level 2 Assets - Observable Prices</t>
  </si>
  <si>
    <t>Fair Value of Assets</t>
  </si>
  <si>
    <t>Level 2 Liabilities - Observable Prices</t>
  </si>
  <si>
    <t>Fair Value of Liabilities</t>
  </si>
  <si>
    <t>Revenue Schedule</t>
  </si>
  <si>
    <t>Total Revenue</t>
  </si>
  <si>
    <t xml:space="preserve">System Integration Business Revenue  </t>
  </si>
  <si>
    <t>Growth</t>
  </si>
  <si>
    <t xml:space="preserve">System Construction </t>
  </si>
  <si>
    <t xml:space="preserve">Products and Services </t>
  </si>
  <si>
    <t xml:space="preserve">Facility Business </t>
  </si>
  <si>
    <t xml:space="preserve">Other Businesses </t>
  </si>
  <si>
    <t>Growth Rates</t>
  </si>
  <si>
    <t>Income Statement</t>
  </si>
  <si>
    <t>COGS</t>
  </si>
  <si>
    <t>Gross Profit</t>
  </si>
  <si>
    <t>SG&amp;A</t>
  </si>
  <si>
    <t>Other Operating Expenses</t>
  </si>
  <si>
    <t>EBITDA Margin</t>
  </si>
  <si>
    <t>Interest Income &amp; Investment Income</t>
  </si>
  <si>
    <t>Other Non Operating Income/Expense</t>
  </si>
  <si>
    <t>EBT (Normalised, Excl. Unusual Items)</t>
  </si>
  <si>
    <t>Total Tax</t>
  </si>
  <si>
    <t>Net Income</t>
  </si>
  <si>
    <t>Cash Flows</t>
  </si>
  <si>
    <t>Cash From Operations</t>
  </si>
  <si>
    <t>PIK Interest</t>
  </si>
  <si>
    <t>Cash from NWC</t>
  </si>
  <si>
    <t>Depreciation &amp; Amortisation</t>
  </si>
  <si>
    <t>Net Cash From Operations</t>
  </si>
  <si>
    <t>Cash From Investing</t>
  </si>
  <si>
    <t>Capital Expenditures</t>
  </si>
  <si>
    <t>Net Cash from Investing</t>
  </si>
  <si>
    <t>Cash from Financing</t>
  </si>
  <si>
    <t>Existing Debt Issuance / (Repayment)</t>
  </si>
  <si>
    <t>Revolving Credit Line Issuance / (Repayment)</t>
  </si>
  <si>
    <t>Term Loan A Issuance / (Repayment)</t>
  </si>
  <si>
    <t>Term Loan B Issuance / (Repayment)</t>
  </si>
  <si>
    <t>PIK Debt Issuance / (Repayment)</t>
  </si>
  <si>
    <t>Equity Issuance / (Repayment)</t>
  </si>
  <si>
    <t>Net Cash From Financing</t>
  </si>
  <si>
    <t>Cash Balance</t>
  </si>
  <si>
    <t>Beginning Cash Balance</t>
  </si>
  <si>
    <t>Cash Used to Fund Acquisition (2025)</t>
  </si>
  <si>
    <t>Change in Cash</t>
  </si>
  <si>
    <t>Ending Cash Balance</t>
  </si>
  <si>
    <t>Capital Expenditures / Intangible Purchases Schedule</t>
  </si>
  <si>
    <t>All figures in USD millions unless stated</t>
  </si>
  <si>
    <t>Capital Expenditures (% of sales)</t>
  </si>
  <si>
    <t>Purchases of Intangibles (% of sales)</t>
  </si>
  <si>
    <t>Total CapEx / Intangibles Purchased</t>
  </si>
  <si>
    <t>Working Capital Schedule</t>
  </si>
  <si>
    <t>Total Amounts</t>
  </si>
  <si>
    <t>Net Working Capital</t>
  </si>
  <si>
    <t>Current Assets</t>
  </si>
  <si>
    <t>Current Liabilities</t>
  </si>
  <si>
    <t>Debt Schedule : Part 1 (Until Acquisition)</t>
  </si>
  <si>
    <t>Existing Debt (ST and LT)</t>
  </si>
  <si>
    <t>Beginning Total Debt Balance</t>
  </si>
  <si>
    <t>Issuance / (Repayment)</t>
  </si>
  <si>
    <t>2024 FQ3 Total Debt Balance</t>
  </si>
  <si>
    <t>Ending Total Debt Balance</t>
  </si>
  <si>
    <t>Adjustment for Acquisition</t>
  </si>
  <si>
    <t>Interest rate</t>
  </si>
  <si>
    <t>Circularity</t>
  </si>
  <si>
    <t>Debt Schedule : Part 2 (Revolving Credit Line)</t>
  </si>
  <si>
    <t>Opening Cash Balance</t>
  </si>
  <si>
    <t>Period Adjustment</t>
  </si>
  <si>
    <t>Cash from Operations</t>
  </si>
  <si>
    <t>Cash from Investing</t>
  </si>
  <si>
    <t>Mandatory Debt Issuance / (Repayment)</t>
  </si>
  <si>
    <t>Payment of Dividends</t>
  </si>
  <si>
    <t>Cash Available / (Required) for Revolving Credit Line</t>
  </si>
  <si>
    <t>Revolving Credit Line (Drawn)</t>
  </si>
  <si>
    <t>Beginning</t>
  </si>
  <si>
    <t>Additions / (Repayments)</t>
  </si>
  <si>
    <t>Ending</t>
  </si>
  <si>
    <t>Amount Drawn Exceeds Maximum?</t>
  </si>
  <si>
    <t>Revolving Credit Line (Undrawn)</t>
  </si>
  <si>
    <t>(Additions) / Repayments</t>
  </si>
  <si>
    <t>Maximum</t>
  </si>
  <si>
    <t>Revolving Credit Line Standby Fee Rate</t>
  </si>
  <si>
    <t>Revolving Credit Line Standby Fees</t>
  </si>
  <si>
    <t>Cash Available After Revolving Credit Line Pay Down</t>
  </si>
  <si>
    <t>Debt Schedule : Part 3 (Term Loans)</t>
  </si>
  <si>
    <t>Loan Amortisation</t>
  </si>
  <si>
    <t>Cash Available for Discretionary Payments?</t>
  </si>
  <si>
    <t>Beginning Balance</t>
  </si>
  <si>
    <t>Mandatory Repayments</t>
  </si>
  <si>
    <t>Cash Sweep</t>
  </si>
  <si>
    <t>Discretionary Repayments</t>
  </si>
  <si>
    <t>Ending Balance</t>
  </si>
  <si>
    <t>Cash Available After Discretionary Term Loan A Pay Down</t>
  </si>
  <si>
    <t>Debt Schedule : Part 4 (Subordinated PIK Debt &amp; Non-Operating Income)</t>
  </si>
  <si>
    <t>Subordinated PIK Debt</t>
  </si>
  <si>
    <t>Plus: PIK Accrual</t>
  </si>
  <si>
    <t>Cash Percent</t>
  </si>
  <si>
    <t>PIK Percent</t>
  </si>
  <si>
    <t>Total Percent</t>
  </si>
  <si>
    <t>Cash Amount</t>
  </si>
  <si>
    <t>PIK Amount</t>
  </si>
  <si>
    <t>Total Amount</t>
  </si>
  <si>
    <t>Cash Interest</t>
  </si>
  <si>
    <t>Accrued Interest</t>
  </si>
  <si>
    <t>Total PIK Interest Expense</t>
  </si>
  <si>
    <t>Cash Deposits</t>
  </si>
  <si>
    <t>Interest on Deposits</t>
  </si>
  <si>
    <t>Debt Schedule Summary</t>
  </si>
  <si>
    <t>Principal Issuance / (Repayments)</t>
  </si>
  <si>
    <t>Total Principal Repayments</t>
  </si>
  <si>
    <t>Ending Balances</t>
  </si>
  <si>
    <t>Total Ending Debt Balance</t>
  </si>
  <si>
    <t>Cash Interest Expense</t>
  </si>
  <si>
    <t>Revolving Credit Line (Incl. Standby Fees)</t>
  </si>
  <si>
    <t>Total Cash Interest Expense</t>
  </si>
  <si>
    <t>Interest Income on Cash</t>
  </si>
  <si>
    <t>Equity Schedule</t>
  </si>
  <si>
    <t>Equity Capital</t>
  </si>
  <si>
    <t>Equity Returns Schedule</t>
  </si>
  <si>
    <t>Close</t>
  </si>
  <si>
    <t>Transaction Date</t>
  </si>
  <si>
    <t xml:space="preserve">Forecast Fiscal Year End </t>
  </si>
  <si>
    <t>(DD-MM-YY)</t>
  </si>
  <si>
    <t>Enterprise Value</t>
  </si>
  <si>
    <t>Exit Multiple</t>
  </si>
  <si>
    <t>Debt Balance</t>
  </si>
  <si>
    <t>Total Net Debt</t>
  </si>
  <si>
    <t>Equity Value</t>
  </si>
  <si>
    <t>Equity Investor</t>
  </si>
  <si>
    <t>Fuji Soft Incorporated - 富士ソフト株式会社 | Income Statement</t>
  </si>
  <si>
    <t>TSE:9749 (MI KEY: 4162639; SPCIQ KEY: 883090)</t>
  </si>
  <si>
    <t>Source: Recommended</t>
  </si>
  <si>
    <t>Period Category: Fiscal</t>
  </si>
  <si>
    <t>Period Type: Years</t>
  </si>
  <si>
    <t>Reporting Basis: Current/Restated</t>
  </si>
  <si>
    <t>Sort Order: Latest on Right</t>
  </si>
  <si>
    <t>System Contstruction</t>
  </si>
  <si>
    <t>Currency: Reported Currency</t>
  </si>
  <si>
    <t>Magnitude: Millions (M)</t>
  </si>
  <si>
    <t>Facility and Other Businesses</t>
  </si>
  <si>
    <t>Interest Rate(Excl non-Loan/Bond Debt)</t>
  </si>
  <si>
    <t>Interest Rate(Indicative - All Debt)</t>
  </si>
  <si>
    <t>Fuji Soft Incorporated - 富士ソフト株式会社 | Cash Flow</t>
  </si>
  <si>
    <t>LTM</t>
  </si>
  <si>
    <t>Fuji Soft Incorporated - 富士ソフト株式会社 | Balance Sheet</t>
  </si>
  <si>
    <t>LBO Case Study - Lemon Grove Ltd</t>
  </si>
  <si>
    <t>All values GBP millions unless stated</t>
  </si>
  <si>
    <t>Sources of Cash</t>
  </si>
  <si>
    <t>Uses of Cash</t>
  </si>
  <si>
    <t>Target Cash</t>
  </si>
  <si>
    <t xml:space="preserve">Equity Offer </t>
  </si>
  <si>
    <t>Debt</t>
  </si>
  <si>
    <t>LTM EBITDA</t>
  </si>
  <si>
    <t>Total</t>
  </si>
  <si>
    <t>Cash &amp; Equivalents</t>
  </si>
  <si>
    <t>Operating Assumptions</t>
  </si>
  <si>
    <t>Returns</t>
  </si>
  <si>
    <t>Revenue Growth Rate</t>
  </si>
  <si>
    <t>Implied Equity Offer Value</t>
  </si>
  <si>
    <t>CapEx Margin</t>
  </si>
  <si>
    <t>D&amp;A Margin</t>
  </si>
  <si>
    <t>Interest Rate on Debt</t>
  </si>
  <si>
    <t>NWC (% of Sales)</t>
  </si>
  <si>
    <t>Growth Rate (%)</t>
  </si>
  <si>
    <t>Margin (%)</t>
  </si>
  <si>
    <t>Interest Expenses</t>
  </si>
  <si>
    <t>EBT</t>
  </si>
  <si>
    <t>Taxes</t>
  </si>
  <si>
    <t>NWC</t>
  </si>
  <si>
    <t>Cumulative LFCF</t>
  </si>
  <si>
    <t>Supporting Schedules</t>
  </si>
  <si>
    <t>Ending Debt Balance</t>
  </si>
  <si>
    <t>Return Calculations and Analysis</t>
  </si>
  <si>
    <t>Return Attribution Analysis</t>
  </si>
  <si>
    <t>Exit Calculations</t>
  </si>
  <si>
    <t>Return Calculations</t>
  </si>
  <si>
    <t>EBITDA Growth</t>
  </si>
  <si>
    <t>Final Year EBITDA</t>
  </si>
  <si>
    <t>Exit Equity Value</t>
  </si>
  <si>
    <t>Multiple Expansion</t>
  </si>
  <si>
    <t>Entry Equity Investment</t>
  </si>
  <si>
    <t>Debt Paydown</t>
  </si>
  <si>
    <t>Ending EV</t>
  </si>
  <si>
    <t>Years</t>
  </si>
  <si>
    <t>Check</t>
  </si>
  <si>
    <t>Net Debt at Exit</t>
  </si>
  <si>
    <t>Debt Schedule</t>
  </si>
  <si>
    <t>LFCF</t>
  </si>
  <si>
    <t>Beginning Debt Balance</t>
  </si>
  <si>
    <t>LBO Case Study - Lemon Grove Ltd - With Circularity and Debt Paydown</t>
  </si>
  <si>
    <t>Main Point here is to understand some of the concepts behind debt schedule modelling and hopefully gain insight into how excel is used to model it</t>
  </si>
  <si>
    <t>Margin</t>
  </si>
  <si>
    <t>Introduction to Debt Schedule Modelling and Circularity - Company ABC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</si>
</sst>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43" formatCode="_-* #,##0.00_-;\-* #,##0.00_-;_-* &quot;-&quot;??_-;_-@_-"/>
    <numFmt numFmtId="164" formatCode="&quot;$&quot;#,##0_);\(&quot;$&quot;#,##0\)"/>
    <numFmt numFmtId="165" formatCode="_(* #,##0.00_);_(* \(#,##0.00\);_(* &quot;-&quot;??_);_(@_)"/>
    <numFmt numFmtId="166" formatCode="0&quot;A&quot;"/>
    <numFmt numFmtId="167" formatCode="_(0.0\x_);\(0.0\x\);_(&quot;–&quot;_);_(@_)"/>
    <numFmt numFmtId="168" formatCode="_(#,##0.0%_);\(#,##0.0%\);_(&quot;–&quot;_)_%;_(@_)_%"/>
    <numFmt numFmtId="169" formatCode="_(#,##0_);\(#,##0\);_(&quot;–&quot;_);_(@_)"/>
    <numFmt numFmtId="170" formatCode="_-* #,##0_-;\(#,##0\)_-;_-* &quot;-&quot;_-;_-@_-"/>
    <numFmt numFmtId="171" formatCode="_(###0_);\(###0\);_(&quot;–&quot;_);_(@_)"/>
    <numFmt numFmtId="172" formatCode="&quot;B&quot;\+0&quot;bps&quot;_);&quot;B&quot;\-0&quot;bps&quot;_);&quot;B&quot;\+0&quot;bps&quot;_)"/>
    <numFmt numFmtId="173" formatCode="#,##0;[Red]\(#,##0\)"/>
    <numFmt numFmtId="174" formatCode="#,##0.00;[Red]\(#,##0.00\)"/>
    <numFmt numFmtId="175" formatCode="_(\¥#,##0_);\¥\(#,##0\);_(&quot;–&quot;_);_(@_)"/>
    <numFmt numFmtId="176" formatCode="[=1]_(&quot;Yes&quot;_);[=0]_(&quot;No&quot;_)"/>
    <numFmt numFmtId="177" formatCode="_(0.00\x_);\(0.00\x\);_(&quot;–&quot;_);_(@_)"/>
    <numFmt numFmtId="178" formatCode="_(#,##0.00%_);\(#,##0.00%\);_(&quot;–&quot;_)_%;_(@_)_%"/>
    <numFmt numFmtId="179" formatCode="0&quot;F&quot;"/>
    <numFmt numFmtId="180" formatCode="&quot;Year &quot;0"/>
    <numFmt numFmtId="181" formatCode="_(dd/mm/yy_)"/>
    <numFmt numFmtId="182" formatCode="&quot;Year &quot;0&quot; (2025)&quot;"/>
    <numFmt numFmtId="183" formatCode="0&quot;E&quot;"/>
    <numFmt numFmtId="184" formatCode="_(0\)"/>
    <numFmt numFmtId="185" formatCode="_(&quot;+&quot;#,##0.0%_);\(#,##0.0%\);_(&quot;–&quot;_)_%;_(@_)_%"/>
    <numFmt numFmtId="186" formatCode="_(&quot;-&quot;#,##0.0%_);\(#,##0.0%\);_(&quot;–&quot;_)_%;_(@_)_%"/>
    <numFmt numFmtId="187" formatCode="[=1]&quot;On&quot;;[=2]&quot;Off&quot;"/>
    <numFmt numFmtId="188" formatCode="[=1]&quot;Yes&quot;;[=0]&quot;No&quot;"/>
    <numFmt numFmtId="189" formatCode="_(#,##0.00%_);\(#,##0.0%\);_(&quot;–&quot;_)_%;_(@_)_%"/>
    <numFmt numFmtId="190" formatCode="[=1]&quot;Yes&quot;_);[=0]&quot;No&quot;_)"/>
    <numFmt numFmtId="191" formatCode="_(#,##0%_);\(#,##0%\);_(&quot;–&quot;_)_%;_(@_)_%"/>
    <numFmt numFmtId="192" formatCode="dd/mm/yy"/>
    <numFmt numFmtId="193" formatCode="_(#,##0.0\x_);\(#,##0.0\x\);_(&quot;–&quot;_);_(@_)"/>
    <numFmt numFmtId="194" formatCode="0&quot;-Year-Horizon&quot;"/>
    <numFmt numFmtId="195" formatCode="0.0%"/>
    <numFmt numFmtId="196" formatCode="0.0\x"/>
    <numFmt numFmtId="197" formatCode="\¥0.00&quot;bn&quot;"/>
    <numFmt numFmtId="198" formatCode="[=0]&quot;No&quot;_);[=1]&quot;Yes&quot;_)"/>
    <numFmt numFmtId="199" formatCode="_(#,##0.00\x_);\(#,##0.00\x\);_(&quot;–&quot;_);_(@_)"/>
    <numFmt numFmtId="200" formatCode="&quot;Year &quot;0&quot; (25)&quot;"/>
    <numFmt numFmtId="201" formatCode="[=0]&quot;OK&quot;;&quot;Error&quot;"/>
    <numFmt numFmtId="202" formatCode="_(#,##0.00_);\(#,##0.00\);_(&quot;–&quot;_);_(@_)"/>
    <numFmt numFmtId="203" formatCode="_(0.0%_);\(0.0%\);&quot;-&quot;"/>
    <numFmt numFmtId="204" formatCode="_(0.0\x;\(0.0\x\);&quot;-&quot;"/>
    <numFmt numFmtId="205" formatCode="_(#,##0_);\(#,##0\);&quot;-&quot;"/>
    <numFmt numFmtId="206" formatCode="_(0.0\x_);\(0.0\x\);&quot;-&quot;"/>
    <numFmt numFmtId="207" formatCode="&quot;Year&quot;\ 0\ "/>
  </numFmts>
  <fonts count="63" x14ac:knownFonts="1">
    <font>
      <sz val="11"/>
      <color theme="1"/>
      <name val="Aptos Narrow"/>
      <family val="2"/>
      <scheme val="minor"/>
    </font>
    <font>
      <sz val="11"/>
      <color theme="1"/>
      <name val="Aptos Narrow"/>
      <family val="2"/>
      <scheme val="minor"/>
    </font>
    <font>
      <sz val="11"/>
      <color theme="1"/>
      <name val="Aptos"/>
      <family val="2"/>
    </font>
    <font>
      <sz val="11"/>
      <color rgb="FF0070C0"/>
      <name val="Aptos"/>
      <family val="2"/>
    </font>
    <font>
      <sz val="10"/>
      <name val="Arial"/>
      <family val="2"/>
    </font>
    <font>
      <sz val="11"/>
      <color theme="1"/>
      <name val="Arial Narrow"/>
      <family val="2"/>
    </font>
    <font>
      <b/>
      <sz val="14"/>
      <color rgb="FF0070C0"/>
      <name val="Aptos"/>
      <family val="2"/>
    </font>
    <font>
      <b/>
      <sz val="11"/>
      <name val="Aptos"/>
      <family val="2"/>
    </font>
    <font>
      <sz val="11"/>
      <name val="Aptos"/>
      <family val="2"/>
    </font>
    <font>
      <sz val="11"/>
      <color rgb="FF000000"/>
      <name val="Aptos"/>
      <family val="2"/>
    </font>
    <font>
      <b/>
      <sz val="11"/>
      <color rgb="FF000000"/>
      <name val="Aptos"/>
      <family val="2"/>
    </font>
    <font>
      <sz val="11"/>
      <color rgb="FF3271D2"/>
      <name val="Aptos"/>
      <family val="2"/>
    </font>
    <font>
      <i/>
      <sz val="11"/>
      <color rgb="FF000000"/>
      <name val="Aptos"/>
      <family val="2"/>
    </font>
    <font>
      <b/>
      <sz val="11"/>
      <color rgb="FF0070C0"/>
      <name val="Aptos"/>
      <family val="2"/>
    </font>
    <font>
      <b/>
      <sz val="11"/>
      <color theme="0"/>
      <name val="Aptos"/>
      <family val="2"/>
    </font>
    <font>
      <sz val="11"/>
      <color theme="0"/>
      <name val="Aptos"/>
      <family val="2"/>
    </font>
    <font>
      <sz val="10"/>
      <name val="Arial"/>
      <family val="2"/>
    </font>
    <font>
      <b/>
      <sz val="10"/>
      <name val="Arial"/>
      <family val="2"/>
    </font>
    <font>
      <sz val="11"/>
      <color theme="8"/>
      <name val="Aptos"/>
      <family val="2"/>
    </font>
    <font>
      <sz val="9"/>
      <color indexed="81"/>
      <name val="Tahoma"/>
      <family val="2"/>
    </font>
    <font>
      <b/>
      <sz val="9"/>
      <color indexed="81"/>
      <name val="Tahoma"/>
      <family val="2"/>
    </font>
    <font>
      <i/>
      <sz val="11"/>
      <color theme="1"/>
      <name val="Aptos"/>
      <family val="2"/>
    </font>
    <font>
      <sz val="11"/>
      <color theme="2"/>
      <name val="Aptos"/>
      <family val="2"/>
    </font>
    <font>
      <b/>
      <sz val="11"/>
      <color rgb="FF0000FF"/>
      <name val="Aptos"/>
      <family val="2"/>
    </font>
    <font>
      <i/>
      <sz val="11"/>
      <name val="Aptos"/>
      <family val="2"/>
    </font>
    <font>
      <sz val="11"/>
      <color rgb="FFFF0000"/>
      <name val="Aptos"/>
      <family val="2"/>
    </font>
    <font>
      <sz val="14"/>
      <color theme="1"/>
      <name val="Aptos"/>
      <family val="2"/>
    </font>
    <font>
      <b/>
      <sz val="12"/>
      <color theme="1"/>
      <name val="Aptos"/>
      <family val="2"/>
    </font>
    <font>
      <sz val="11"/>
      <color rgb="FF00B050"/>
      <name val="Aptos"/>
      <family val="2"/>
    </font>
    <font>
      <b/>
      <sz val="11"/>
      <color theme="1"/>
      <name val="Aptos"/>
      <family val="2"/>
    </font>
    <font>
      <u/>
      <sz val="11"/>
      <color theme="10"/>
      <name val="Aptos Narrow"/>
      <family val="2"/>
      <scheme val="minor"/>
    </font>
    <font>
      <u/>
      <sz val="11"/>
      <color theme="11"/>
      <name val="Aptos Narrow"/>
      <family val="2"/>
      <scheme val="minor"/>
    </font>
    <font>
      <i/>
      <sz val="9"/>
      <name val="Aptos"/>
      <family val="2"/>
    </font>
    <font>
      <sz val="10"/>
      <name val="Aptos"/>
      <family val="2"/>
    </font>
    <font>
      <b/>
      <sz val="10"/>
      <name val="Aptos"/>
      <family val="2"/>
    </font>
    <font>
      <i/>
      <sz val="9"/>
      <color theme="1"/>
      <name val="Aptos"/>
      <family val="2"/>
    </font>
    <font>
      <b/>
      <sz val="11"/>
      <color rgb="FFFF0000"/>
      <name val="Aptos"/>
      <family val="2"/>
    </font>
    <font>
      <b/>
      <sz val="11"/>
      <color theme="1"/>
      <name val="Aptos Narrow"/>
      <family val="2"/>
      <scheme val="minor"/>
    </font>
    <font>
      <b/>
      <sz val="11"/>
      <color rgb="FF00B050"/>
      <name val="Aptos"/>
      <family val="2"/>
    </font>
    <font>
      <b/>
      <sz val="14"/>
      <name val="Aptos"/>
      <family val="2"/>
    </font>
    <font>
      <b/>
      <sz val="16"/>
      <color theme="1"/>
      <name val="Aptos"/>
      <family val="2"/>
    </font>
    <font>
      <sz val="16"/>
      <color theme="1"/>
      <name val="Aptos"/>
      <family val="2"/>
    </font>
    <font>
      <b/>
      <u/>
      <sz val="14"/>
      <color theme="1"/>
      <name val="Aptos"/>
      <family val="2"/>
    </font>
    <font>
      <u/>
      <sz val="11"/>
      <color theme="1"/>
      <name val="Aptos"/>
      <family val="2"/>
    </font>
    <font>
      <b/>
      <u/>
      <sz val="11"/>
      <color theme="1"/>
      <name val="Aptos"/>
      <family val="2"/>
    </font>
    <font>
      <sz val="10"/>
      <color rgb="FF000000"/>
      <name val="Open Sans"/>
      <family val="2"/>
    </font>
    <font>
      <sz val="11"/>
      <color rgb="FF0070C0"/>
      <name val="Aptos Narrow"/>
      <family val="2"/>
      <scheme val="minor"/>
    </font>
    <font>
      <i/>
      <sz val="10"/>
      <color theme="1"/>
      <name val="Aptos"/>
      <family val="2"/>
    </font>
    <font>
      <sz val="11"/>
      <color theme="0"/>
      <name val="Aptos Narrow"/>
      <family val="2"/>
      <scheme val="minor"/>
    </font>
    <font>
      <b/>
      <sz val="24"/>
      <color rgb="FF0070C0"/>
      <name val="Aptos"/>
      <family val="2"/>
    </font>
    <font>
      <b/>
      <u/>
      <sz val="12"/>
      <color theme="1"/>
      <name val="Aptos Narrow"/>
      <family val="2"/>
      <scheme val="minor"/>
    </font>
    <font>
      <sz val="10"/>
      <color rgb="FF0070C0"/>
      <name val="Arial"/>
      <family val="2"/>
    </font>
    <font>
      <sz val="11"/>
      <color rgb="FF00B050"/>
      <name val="Aptos Narrow"/>
      <family val="2"/>
      <scheme val="minor"/>
    </font>
    <font>
      <i/>
      <u/>
      <sz val="11"/>
      <color theme="10"/>
      <name val="Aptos Narrow"/>
      <family val="2"/>
      <scheme val="minor"/>
    </font>
    <font>
      <sz val="14"/>
      <color theme="1"/>
      <name val="Aptos Narrow"/>
      <family val="2"/>
      <scheme val="minor"/>
    </font>
    <font>
      <b/>
      <sz val="16"/>
      <color rgb="FF0070C0"/>
      <name val="Aptos Narrow"/>
      <family val="2"/>
      <scheme val="minor"/>
    </font>
    <font>
      <b/>
      <sz val="14"/>
      <color rgb="FF0070C0"/>
      <name val="Aptos Narrow"/>
      <family val="2"/>
      <scheme val="minor"/>
    </font>
    <font>
      <i/>
      <sz val="9"/>
      <color theme="1"/>
      <name val="Aptos Narrow"/>
      <family val="2"/>
      <scheme val="minor"/>
    </font>
    <font>
      <sz val="11"/>
      <name val="Aptos Narrow"/>
      <family val="2"/>
      <scheme val="minor"/>
    </font>
    <font>
      <b/>
      <sz val="11"/>
      <name val="Aptos Narrow"/>
      <family val="2"/>
      <scheme val="minor"/>
    </font>
    <font>
      <i/>
      <sz val="11"/>
      <color theme="1"/>
      <name val="Aptos Narrow"/>
      <family val="2"/>
      <scheme val="minor"/>
    </font>
    <font>
      <b/>
      <sz val="14"/>
      <color theme="1"/>
      <name val="Aptos Narrow"/>
      <family val="2"/>
      <scheme val="minor"/>
    </font>
    <font>
      <b/>
      <sz val="16"/>
      <color rgb="FFFF0000"/>
      <name val="Aptos Narrow"/>
      <family val="2"/>
      <scheme val="minor"/>
    </font>
  </fonts>
  <fills count="10">
    <fill>
      <patternFill patternType="none"/>
    </fill>
    <fill>
      <patternFill patternType="gray125"/>
    </fill>
    <fill>
      <patternFill patternType="solid">
        <fgColor theme="0" tint="-4.9989318521683403E-2"/>
        <bgColor indexed="64"/>
      </patternFill>
    </fill>
    <fill>
      <patternFill patternType="lightDown">
        <fgColor theme="2" tint="-9.9917600024414813E-2"/>
        <bgColor indexed="65"/>
      </patternFill>
    </fill>
    <fill>
      <patternFill patternType="lightUp"/>
    </fill>
    <fill>
      <patternFill patternType="lightGray"/>
    </fill>
    <fill>
      <patternFill patternType="lightGray">
        <bgColor auto="1"/>
      </patternFill>
    </fill>
    <fill>
      <patternFill patternType="solid">
        <fgColor theme="2"/>
        <bgColor indexed="64"/>
      </patternFill>
    </fill>
    <fill>
      <patternFill patternType="solid">
        <fgColor theme="0"/>
        <bgColor indexed="64"/>
      </patternFill>
    </fill>
    <fill>
      <patternFill patternType="solid">
        <fgColor theme="6" tint="0.79998168889431442"/>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auto="1"/>
      </bottom>
      <diagonal/>
    </border>
    <border>
      <left/>
      <right/>
      <top/>
      <bottom style="hair">
        <color auto="1"/>
      </bottom>
      <diagonal/>
    </border>
    <border>
      <left/>
      <right/>
      <top style="hair">
        <color rgb="FF000000"/>
      </top>
      <bottom/>
      <diagonal/>
    </border>
    <border>
      <left/>
      <right/>
      <top style="hair">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rgb="FF000000"/>
      </bottom>
      <diagonal/>
    </border>
    <border>
      <left style="thin">
        <color rgb="FF3271D2"/>
      </left>
      <right style="thin">
        <color rgb="FF3271D2"/>
      </right>
      <top style="thin">
        <color rgb="FF3271D2"/>
      </top>
      <bottom style="thin">
        <color rgb="FF3271D2"/>
      </bottom>
      <diagonal/>
    </border>
    <border>
      <left style="thin">
        <color indexed="64"/>
      </left>
      <right style="thin">
        <color indexed="64"/>
      </right>
      <top style="thin">
        <color indexed="64"/>
      </top>
      <bottom style="thin">
        <color indexed="64"/>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bottom style="medium">
        <color rgb="FF0070C0"/>
      </bottom>
      <diagonal/>
    </border>
    <border>
      <left/>
      <right/>
      <top style="thin">
        <color rgb="FF0070C0"/>
      </top>
      <bottom style="medium">
        <color rgb="FF0070C0"/>
      </bottom>
      <diagonal/>
    </border>
    <border>
      <left style="dashed">
        <color auto="1"/>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auto="1"/>
      </left>
      <right style="dashed">
        <color auto="1"/>
      </right>
      <top style="dashed">
        <color auto="1"/>
      </top>
      <bottom style="dashed">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right/>
      <top style="thin">
        <color auto="1"/>
      </top>
      <bottom style="medium">
        <color indexed="64"/>
      </bottom>
      <diagonal/>
    </border>
    <border>
      <left style="dashed">
        <color rgb="FF000000"/>
      </left>
      <right style="dashed">
        <color rgb="FF000000"/>
      </right>
      <top style="dashed">
        <color rgb="FF000000"/>
      </top>
      <bottom style="dashed">
        <color rgb="FF000000"/>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right/>
      <top/>
      <bottom style="medium">
        <color rgb="FF3271D2"/>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165" fontId="5" fillId="0" borderId="0" applyFont="0" applyFill="0" applyBorder="0" applyAlignment="0" applyProtection="0"/>
    <xf numFmtId="9" fontId="4" fillId="0" borderId="0" applyFon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16" fillId="0" borderId="0"/>
    <xf numFmtId="0" fontId="1" fillId="0" borderId="0"/>
  </cellStyleXfs>
  <cellXfs count="520">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7" xfId="0" applyFont="1" applyBorder="1"/>
    <xf numFmtId="0" fontId="2" fillId="0" borderId="8" xfId="0" applyFont="1" applyBorder="1"/>
    <xf numFmtId="0" fontId="6" fillId="2" borderId="0" xfId="0" applyFont="1" applyFill="1"/>
    <xf numFmtId="0" fontId="7" fillId="0" borderId="9" xfId="3" applyFont="1" applyBorder="1" applyAlignment="1">
      <alignment horizontal="left"/>
    </xf>
    <xf numFmtId="166" fontId="7" fillId="0" borderId="9" xfId="3" applyNumberFormat="1" applyFont="1" applyBorder="1" applyAlignment="1">
      <alignment horizontal="left"/>
    </xf>
    <xf numFmtId="0" fontId="8" fillId="0" borderId="9" xfId="3" applyFont="1" applyBorder="1"/>
    <xf numFmtId="166" fontId="7" fillId="0" borderId="9" xfId="3" applyNumberFormat="1" applyFont="1" applyBorder="1" applyAlignment="1">
      <alignment horizontal="right"/>
    </xf>
    <xf numFmtId="0" fontId="7" fillId="0" borderId="9" xfId="3" applyFont="1" applyBorder="1" applyAlignment="1">
      <alignment horizontal="right"/>
    </xf>
    <xf numFmtId="0" fontId="8" fillId="0" borderId="0" xfId="4" applyNumberFormat="1" applyFont="1" applyFill="1" applyBorder="1" applyAlignment="1" applyProtection="1">
      <alignment horizontal="left" indent="1"/>
      <protection locked="0"/>
    </xf>
    <xf numFmtId="167" fontId="9" fillId="0" borderId="0" xfId="5" applyNumberFormat="1" applyFont="1" applyFill="1" applyBorder="1" applyAlignment="1" applyProtection="1">
      <alignment horizontal="right"/>
      <protection locked="0"/>
    </xf>
    <xf numFmtId="0" fontId="8" fillId="0" borderId="0" xfId="4" applyNumberFormat="1" applyFont="1" applyBorder="1" applyAlignment="1" applyProtection="1">
      <alignment horizontal="left" indent="1"/>
      <protection locked="0"/>
    </xf>
    <xf numFmtId="0" fontId="8" fillId="0" borderId="0" xfId="3" applyFont="1"/>
    <xf numFmtId="169" fontId="8" fillId="0" borderId="0" xfId="4" applyNumberFormat="1" applyFont="1" applyFill="1" applyBorder="1" applyProtection="1">
      <protection locked="0"/>
    </xf>
    <xf numFmtId="170" fontId="8" fillId="0" borderId="0" xfId="4" applyNumberFormat="1" applyFont="1" applyFill="1" applyBorder="1" applyProtection="1">
      <protection locked="0"/>
    </xf>
    <xf numFmtId="0" fontId="8" fillId="0" borderId="0" xfId="4" applyNumberFormat="1" applyFont="1" applyAlignment="1" applyProtection="1">
      <alignment horizontal="left" indent="1"/>
      <protection locked="0"/>
    </xf>
    <xf numFmtId="168" fontId="8" fillId="0" borderId="0" xfId="5" applyNumberFormat="1" applyFont="1" applyFill="1" applyBorder="1" applyAlignment="1" applyProtection="1">
      <alignment horizontal="right"/>
      <protection locked="0"/>
    </xf>
    <xf numFmtId="169" fontId="8" fillId="0" borderId="0" xfId="4" applyNumberFormat="1" applyFont="1" applyFill="1" applyProtection="1">
      <protection locked="0"/>
    </xf>
    <xf numFmtId="0" fontId="8" fillId="0" borderId="0" xfId="4" applyNumberFormat="1" applyFont="1" applyFill="1" applyAlignment="1" applyProtection="1">
      <alignment horizontal="left" indent="1"/>
      <protection locked="0"/>
    </xf>
    <xf numFmtId="0" fontId="9" fillId="0" borderId="0" xfId="4" applyNumberFormat="1" applyFont="1" applyAlignment="1" applyProtection="1">
      <alignment horizontal="left" indent="1"/>
      <protection locked="0"/>
    </xf>
    <xf numFmtId="170" fontId="8" fillId="0" borderId="0" xfId="4" applyNumberFormat="1" applyFont="1" applyFill="1" applyProtection="1">
      <protection locked="0"/>
    </xf>
    <xf numFmtId="0" fontId="7" fillId="0" borderId="0" xfId="4" applyNumberFormat="1" applyFont="1" applyBorder="1" applyAlignment="1" applyProtection="1">
      <alignment horizontal="left" indent="1"/>
      <protection locked="0"/>
    </xf>
    <xf numFmtId="170" fontId="7" fillId="0" borderId="0" xfId="4" applyNumberFormat="1" applyFont="1" applyBorder="1" applyProtection="1">
      <protection locked="0"/>
    </xf>
    <xf numFmtId="169" fontId="10" fillId="0" borderId="11" xfId="4" applyNumberFormat="1" applyFont="1" applyFill="1" applyBorder="1" applyProtection="1">
      <protection locked="0"/>
    </xf>
    <xf numFmtId="169" fontId="3" fillId="0" borderId="0" xfId="5" applyNumberFormat="1" applyFont="1" applyFill="1" applyBorder="1" applyAlignment="1" applyProtection="1">
      <alignment horizontal="right"/>
      <protection locked="0"/>
    </xf>
    <xf numFmtId="169" fontId="3" fillId="0" borderId="0" xfId="0" applyNumberFormat="1" applyFont="1"/>
    <xf numFmtId="0" fontId="2" fillId="0" borderId="14" xfId="0" applyFont="1" applyBorder="1"/>
    <xf numFmtId="0" fontId="3" fillId="0" borderId="0" xfId="0" applyFont="1"/>
    <xf numFmtId="168" fontId="2" fillId="0" borderId="0" xfId="0" applyNumberFormat="1" applyFont="1"/>
    <xf numFmtId="169" fontId="7" fillId="0" borderId="9" xfId="3" applyNumberFormat="1" applyFont="1" applyBorder="1" applyAlignment="1">
      <alignment horizontal="left"/>
    </xf>
    <xf numFmtId="168" fontId="11" fillId="0" borderId="0" xfId="2" applyNumberFormat="1" applyFont="1" applyBorder="1" applyAlignment="1">
      <alignment horizontal="right"/>
    </xf>
    <xf numFmtId="0" fontId="9" fillId="0" borderId="0" xfId="3" applyFont="1" applyAlignment="1">
      <alignment horizontal="left" indent="1"/>
    </xf>
    <xf numFmtId="0" fontId="12" fillId="0" borderId="0" xfId="3" applyFont="1" applyAlignment="1">
      <alignment horizontal="center"/>
    </xf>
    <xf numFmtId="169" fontId="3" fillId="0" borderId="0" xfId="4" applyNumberFormat="1" applyFont="1" applyFill="1" applyAlignment="1" applyProtection="1">
      <alignment horizontal="right"/>
      <protection locked="0"/>
    </xf>
    <xf numFmtId="169" fontId="2" fillId="0" borderId="0" xfId="0" applyNumberFormat="1" applyFont="1"/>
    <xf numFmtId="171" fontId="8" fillId="0" borderId="0" xfId="4" applyNumberFormat="1" applyFont="1" applyFill="1" applyBorder="1" applyProtection="1">
      <protection locked="0"/>
    </xf>
    <xf numFmtId="169" fontId="3" fillId="0" borderId="0" xfId="1" applyNumberFormat="1" applyFont="1" applyFill="1"/>
    <xf numFmtId="14" fontId="8" fillId="0" borderId="0" xfId="4" applyNumberFormat="1" applyFont="1" applyFill="1" applyBorder="1" applyProtection="1">
      <protection locked="0"/>
    </xf>
    <xf numFmtId="169" fontId="8" fillId="0" borderId="11" xfId="4" applyNumberFormat="1" applyFont="1" applyFill="1" applyBorder="1" applyProtection="1">
      <protection locked="0"/>
    </xf>
    <xf numFmtId="169" fontId="11" fillId="0" borderId="0" xfId="3" applyNumberFormat="1" applyFont="1"/>
    <xf numFmtId="0" fontId="8" fillId="0" borderId="0" xfId="3" applyFont="1" applyAlignment="1">
      <alignment horizontal="left" indent="1"/>
    </xf>
    <xf numFmtId="0" fontId="13" fillId="2" borderId="0" xfId="0" applyFont="1" applyFill="1"/>
    <xf numFmtId="37" fontId="14" fillId="0" borderId="0" xfId="3" applyNumberFormat="1" applyFont="1" applyAlignment="1">
      <alignment vertical="center"/>
    </xf>
    <xf numFmtId="37" fontId="15" fillId="0" borderId="0" xfId="3" applyNumberFormat="1" applyFont="1" applyAlignment="1">
      <alignment vertical="center"/>
    </xf>
    <xf numFmtId="0" fontId="7" fillId="2" borderId="1" xfId="7" applyFont="1" applyFill="1" applyBorder="1" applyAlignment="1">
      <alignment horizontal="right" vertical="top" wrapText="1"/>
    </xf>
    <xf numFmtId="0" fontId="7" fillId="2" borderId="1" xfId="7" applyFont="1" applyFill="1" applyBorder="1" applyAlignment="1">
      <alignment horizontal="left" vertical="top" wrapText="1"/>
    </xf>
    <xf numFmtId="0" fontId="4" fillId="0" borderId="0" xfId="3"/>
    <xf numFmtId="0" fontId="4" fillId="0" borderId="0" xfId="3" applyAlignment="1">
      <alignment horizontal="left" vertical="top" wrapText="1"/>
    </xf>
    <xf numFmtId="173" fontId="4" fillId="0" borderId="0" xfId="3" applyNumberFormat="1" applyAlignment="1">
      <alignment horizontal="right" vertical="top" wrapText="1"/>
    </xf>
    <xf numFmtId="0" fontId="4" fillId="0" borderId="0" xfId="3" applyAlignment="1">
      <alignment horizontal="left" vertical="top"/>
    </xf>
    <xf numFmtId="0" fontId="4" fillId="0" borderId="0" xfId="3" applyAlignment="1">
      <alignment horizontal="right" vertical="top" wrapText="1"/>
    </xf>
    <xf numFmtId="0" fontId="17" fillId="0" borderId="0" xfId="3" applyFont="1" applyAlignment="1">
      <alignment horizontal="left" vertical="top"/>
    </xf>
    <xf numFmtId="174" fontId="4" fillId="0" borderId="0" xfId="3" applyNumberFormat="1" applyAlignment="1">
      <alignment horizontal="right" vertical="top" wrapText="1"/>
    </xf>
    <xf numFmtId="14" fontId="4" fillId="0" borderId="0" xfId="3" applyNumberFormat="1" applyAlignment="1">
      <alignment horizontal="right" vertical="top" wrapText="1"/>
    </xf>
    <xf numFmtId="173" fontId="17" fillId="0" borderId="0" xfId="3" applyNumberFormat="1" applyFont="1" applyAlignment="1">
      <alignment horizontal="righ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173" fontId="0" fillId="0" borderId="0" xfId="0" applyNumberFormat="1" applyAlignment="1">
      <alignment horizontal="right" vertical="top" wrapText="1"/>
    </xf>
    <xf numFmtId="174" fontId="0" fillId="0" borderId="0" xfId="0" applyNumberFormat="1" applyAlignment="1">
      <alignment horizontal="right" vertical="top" wrapText="1"/>
    </xf>
    <xf numFmtId="173" fontId="4" fillId="0" borderId="0" xfId="3" applyNumberFormat="1"/>
    <xf numFmtId="173" fontId="17" fillId="0" borderId="0" xfId="0" applyNumberFormat="1" applyFont="1" applyAlignment="1">
      <alignment horizontal="right" vertical="top" wrapText="1"/>
    </xf>
    <xf numFmtId="167" fontId="3" fillId="0" borderId="0" xfId="5" applyNumberFormat="1" applyFont="1" applyFill="1" applyBorder="1" applyAlignment="1" applyProtection="1">
      <alignment horizontal="right"/>
      <protection locked="0"/>
    </xf>
    <xf numFmtId="0" fontId="2" fillId="0" borderId="0" xfId="0" applyFont="1"/>
    <xf numFmtId="0" fontId="9" fillId="0" borderId="0" xfId="4" applyNumberFormat="1" applyFont="1" applyBorder="1" applyAlignment="1" applyProtection="1">
      <alignment horizontal="left" indent="1"/>
      <protection locked="0"/>
    </xf>
    <xf numFmtId="0" fontId="2" fillId="0" borderId="1" xfId="0" applyFont="1" applyBorder="1"/>
    <xf numFmtId="169" fontId="2" fillId="0" borderId="0" xfId="4" applyNumberFormat="1" applyFont="1" applyFill="1" applyProtection="1">
      <protection locked="0"/>
    </xf>
    <xf numFmtId="176" fontId="2" fillId="0" borderId="0" xfId="4" applyNumberFormat="1" applyFont="1" applyFill="1" applyProtection="1">
      <protection locked="0"/>
    </xf>
    <xf numFmtId="175" fontId="3" fillId="0" borderId="0" xfId="4" applyNumberFormat="1" applyFont="1" applyFill="1" applyProtection="1">
      <protection locked="0"/>
    </xf>
    <xf numFmtId="168" fontId="18" fillId="0" borderId="18" xfId="3" applyNumberFormat="1" applyFont="1" applyBorder="1"/>
    <xf numFmtId="0" fontId="7" fillId="0" borderId="0" xfId="4" applyNumberFormat="1" applyFont="1" applyFill="1" applyBorder="1" applyAlignment="1" applyProtection="1">
      <alignment horizontal="left" indent="1"/>
      <protection locked="0"/>
    </xf>
    <xf numFmtId="0" fontId="2" fillId="2" borderId="0" xfId="0" applyFont="1" applyFill="1"/>
    <xf numFmtId="0" fontId="21" fillId="0" borderId="0" xfId="0" applyFont="1"/>
    <xf numFmtId="177" fontId="9" fillId="0" borderId="0" xfId="5" applyNumberFormat="1" applyFont="1" applyFill="1" applyBorder="1" applyAlignment="1" applyProtection="1">
      <alignment horizontal="right"/>
      <protection locked="0"/>
    </xf>
    <xf numFmtId="168" fontId="11" fillId="0" borderId="17" xfId="3" applyNumberFormat="1" applyFont="1" applyBorder="1"/>
    <xf numFmtId="177" fontId="9" fillId="0" borderId="10" xfId="5" applyNumberFormat="1" applyFont="1" applyFill="1" applyBorder="1" applyAlignment="1" applyProtection="1">
      <alignment horizontal="right"/>
      <protection locked="0"/>
    </xf>
    <xf numFmtId="177" fontId="10" fillId="0" borderId="12" xfId="5" applyNumberFormat="1" applyFont="1" applyFill="1" applyBorder="1" applyAlignment="1" applyProtection="1">
      <alignment horizontal="right"/>
      <protection locked="0"/>
    </xf>
    <xf numFmtId="0" fontId="3" fillId="2" borderId="0" xfId="0" applyFont="1" applyFill="1"/>
    <xf numFmtId="37" fontId="23" fillId="0" borderId="0" xfId="3" applyNumberFormat="1" applyFont="1" applyAlignment="1">
      <alignment vertical="center"/>
    </xf>
    <xf numFmtId="166" fontId="15" fillId="0" borderId="0" xfId="3" applyNumberFormat="1" applyFont="1" applyAlignment="1">
      <alignment horizontal="right"/>
    </xf>
    <xf numFmtId="37" fontId="2" fillId="0" borderId="0" xfId="3" applyNumberFormat="1" applyFont="1" applyAlignment="1">
      <alignment vertical="center"/>
    </xf>
    <xf numFmtId="0" fontId="24" fillId="0" borderId="0" xfId="0" applyFont="1" applyAlignment="1">
      <alignment horizontal="left" vertical="center" indent="1"/>
    </xf>
    <xf numFmtId="166" fontId="8" fillId="0" borderId="0" xfId="3" applyNumberFormat="1" applyFont="1" applyAlignment="1">
      <alignment horizontal="right"/>
    </xf>
    <xf numFmtId="0" fontId="7" fillId="0" borderId="0" xfId="4" applyNumberFormat="1" applyFont="1" applyFill="1" applyBorder="1" applyAlignment="1" applyProtection="1">
      <alignment horizontal="right"/>
      <protection locked="0"/>
    </xf>
    <xf numFmtId="0" fontId="9" fillId="0" borderId="0" xfId="3" applyFont="1" applyAlignment="1">
      <alignment horizontal="left"/>
    </xf>
    <xf numFmtId="170" fontId="7" fillId="0" borderId="0" xfId="4" applyNumberFormat="1" applyFont="1" applyProtection="1">
      <protection locked="0"/>
    </xf>
    <xf numFmtId="164" fontId="7" fillId="0" borderId="0" xfId="4" applyNumberFormat="1" applyFont="1" applyAlignment="1" applyProtection="1">
      <alignment horizontal="right"/>
      <protection locked="0"/>
    </xf>
    <xf numFmtId="170" fontId="7" fillId="0" borderId="0" xfId="4" applyNumberFormat="1" applyFont="1" applyAlignment="1" applyProtection="1">
      <alignment horizontal="right"/>
      <protection locked="0"/>
    </xf>
    <xf numFmtId="0" fontId="7" fillId="0" borderId="0" xfId="4" applyNumberFormat="1" applyFont="1" applyFill="1" applyBorder="1" applyAlignment="1" applyProtection="1">
      <alignment horizontal="center"/>
      <protection locked="0"/>
    </xf>
    <xf numFmtId="169" fontId="8" fillId="0" borderId="0" xfId="4" applyNumberFormat="1" applyFont="1" applyFill="1" applyBorder="1" applyAlignment="1" applyProtection="1">
      <alignment horizontal="right"/>
      <protection locked="0"/>
    </xf>
    <xf numFmtId="168" fontId="22" fillId="0" borderId="0" xfId="5" applyNumberFormat="1" applyFont="1" applyFill="1" applyBorder="1" applyAlignment="1" applyProtection="1">
      <alignment horizontal="center"/>
      <protection locked="0"/>
    </xf>
    <xf numFmtId="0" fontId="9" fillId="0" borderId="0" xfId="4" applyNumberFormat="1" applyFont="1" applyFill="1" applyBorder="1" applyAlignment="1" applyProtection="1">
      <alignment horizontal="left" indent="1"/>
      <protection locked="0"/>
    </xf>
    <xf numFmtId="168" fontId="8" fillId="0" borderId="0" xfId="5" applyNumberFormat="1" applyFont="1" applyFill="1" applyAlignment="1" applyProtection="1">
      <alignment horizontal="right"/>
      <protection locked="0"/>
    </xf>
    <xf numFmtId="169" fontId="8" fillId="0" borderId="16" xfId="4" applyNumberFormat="1" applyFont="1" applyFill="1" applyBorder="1" applyAlignment="1" applyProtection="1">
      <alignment horizontal="right"/>
      <protection locked="0"/>
    </xf>
    <xf numFmtId="168" fontId="8" fillId="0" borderId="16" xfId="5" applyNumberFormat="1" applyFont="1" applyFill="1" applyBorder="1" applyAlignment="1" applyProtection="1">
      <alignment horizontal="right"/>
      <protection locked="0"/>
    </xf>
    <xf numFmtId="170" fontId="2" fillId="0" borderId="0" xfId="4" applyNumberFormat="1" applyFont="1" applyFill="1" applyBorder="1" applyProtection="1">
      <protection locked="0"/>
    </xf>
    <xf numFmtId="170" fontId="2" fillId="0" borderId="0" xfId="4" applyNumberFormat="1" applyFont="1" applyBorder="1" applyProtection="1">
      <protection locked="0"/>
    </xf>
    <xf numFmtId="179" fontId="8" fillId="0" borderId="0" xfId="3" applyNumberFormat="1" applyFont="1" applyAlignment="1">
      <alignment horizontal="center"/>
    </xf>
    <xf numFmtId="170" fontId="7" fillId="0" borderId="0" xfId="4" applyNumberFormat="1" applyFont="1" applyBorder="1" applyAlignment="1" applyProtection="1">
      <alignment horizontal="center"/>
      <protection locked="0"/>
    </xf>
    <xf numFmtId="169" fontId="25" fillId="0" borderId="0" xfId="3" applyNumberFormat="1" applyFont="1" applyAlignment="1">
      <alignment horizontal="left"/>
    </xf>
    <xf numFmtId="168" fontId="11" fillId="0" borderId="0" xfId="5" applyNumberFormat="1" applyFont="1" applyFill="1" applyBorder="1" applyAlignment="1" applyProtection="1">
      <alignment horizontal="right"/>
      <protection locked="0"/>
    </xf>
    <xf numFmtId="0" fontId="9" fillId="0" borderId="0" xfId="9" applyFont="1" applyAlignment="1">
      <alignment horizontal="left" indent="1"/>
    </xf>
    <xf numFmtId="168" fontId="22" fillId="0" borderId="0" xfId="4" applyNumberFormat="1" applyFont="1" applyFill="1" applyBorder="1" applyAlignment="1" applyProtection="1">
      <alignment horizontal="center"/>
      <protection locked="0"/>
    </xf>
    <xf numFmtId="169" fontId="22" fillId="0" borderId="0" xfId="4" applyNumberFormat="1" applyFont="1" applyFill="1" applyBorder="1" applyAlignment="1" applyProtection="1">
      <alignment horizontal="right"/>
      <protection locked="0"/>
    </xf>
    <xf numFmtId="0" fontId="7" fillId="0" borderId="9" xfId="4" applyNumberFormat="1" applyFont="1" applyBorder="1" applyProtection="1">
      <protection locked="0"/>
    </xf>
    <xf numFmtId="0" fontId="7" fillId="0" borderId="9" xfId="4" applyNumberFormat="1" applyFont="1" applyBorder="1" applyAlignment="1" applyProtection="1">
      <alignment horizontal="right"/>
      <protection locked="0"/>
    </xf>
    <xf numFmtId="0" fontId="7" fillId="0" borderId="9" xfId="4" applyNumberFormat="1" applyFont="1" applyFill="1" applyBorder="1" applyAlignment="1" applyProtection="1">
      <alignment horizontal="center"/>
      <protection locked="0"/>
    </xf>
    <xf numFmtId="0" fontId="10" fillId="0" borderId="9" xfId="4" applyNumberFormat="1" applyFont="1" applyFill="1" applyBorder="1" applyAlignment="1" applyProtection="1">
      <alignment horizontal="center"/>
      <protection locked="0"/>
    </xf>
    <xf numFmtId="49" fontId="10" fillId="0" borderId="9" xfId="4" applyNumberFormat="1" applyFont="1" applyFill="1" applyBorder="1" applyAlignment="1" applyProtection="1">
      <alignment horizontal="center"/>
      <protection locked="0"/>
    </xf>
    <xf numFmtId="168" fontId="3" fillId="0" borderId="0" xfId="5" applyNumberFormat="1" applyFont="1" applyFill="1" applyBorder="1" applyAlignment="1" applyProtection="1">
      <alignment horizontal="center"/>
      <protection locked="0"/>
    </xf>
    <xf numFmtId="169" fontId="3" fillId="0" borderId="0" xfId="4" applyNumberFormat="1" applyFont="1" applyFill="1" applyBorder="1" applyAlignment="1" applyProtection="1">
      <alignment horizontal="center"/>
      <protection locked="0"/>
    </xf>
    <xf numFmtId="168" fontId="3" fillId="0" borderId="0" xfId="5" applyNumberFormat="1" applyFont="1" applyFill="1" applyAlignment="1" applyProtection="1">
      <alignment horizontal="center"/>
      <protection locked="0"/>
    </xf>
    <xf numFmtId="178" fontId="3" fillId="0" borderId="0" xfId="2" applyNumberFormat="1" applyFont="1" applyFill="1" applyBorder="1" applyAlignment="1" applyProtection="1">
      <alignment horizontal="center"/>
      <protection locked="0"/>
    </xf>
    <xf numFmtId="172" fontId="3" fillId="0" borderId="0" xfId="3" applyNumberFormat="1" applyFont="1" applyAlignment="1">
      <alignment horizontal="center"/>
    </xf>
    <xf numFmtId="168" fontId="3" fillId="0" borderId="16" xfId="5" applyNumberFormat="1" applyFont="1" applyFill="1" applyBorder="1" applyAlignment="1" applyProtection="1">
      <alignment horizontal="center"/>
      <protection locked="0"/>
    </xf>
    <xf numFmtId="168" fontId="3" fillId="0" borderId="16" xfId="4" applyNumberFormat="1" applyFont="1" applyFill="1" applyBorder="1" applyAlignment="1" applyProtection="1">
      <alignment horizontal="center"/>
      <protection locked="0"/>
    </xf>
    <xf numFmtId="169" fontId="8" fillId="0" borderId="0" xfId="3" applyNumberFormat="1" applyFont="1" applyAlignment="1">
      <alignment horizontal="center"/>
    </xf>
    <xf numFmtId="177" fontId="3" fillId="0" borderId="0" xfId="5" applyNumberFormat="1" applyFont="1" applyFill="1" applyBorder="1" applyAlignment="1" applyProtection="1">
      <alignment horizontal="right"/>
      <protection locked="0"/>
    </xf>
    <xf numFmtId="169" fontId="3" fillId="0" borderId="0" xfId="4" applyNumberFormat="1" applyFont="1" applyFill="1" applyProtection="1">
      <protection locked="0"/>
    </xf>
    <xf numFmtId="0" fontId="2" fillId="0" borderId="13" xfId="0" applyFont="1" applyBorder="1"/>
    <xf numFmtId="176" fontId="2" fillId="0" borderId="15" xfId="4" applyNumberFormat="1" applyFont="1" applyFill="1" applyBorder="1" applyProtection="1">
      <protection locked="0"/>
    </xf>
    <xf numFmtId="168" fontId="2" fillId="0" borderId="15" xfId="0" applyNumberFormat="1" applyFont="1" applyBorder="1"/>
    <xf numFmtId="181" fontId="8" fillId="0" borderId="0" xfId="4" applyNumberFormat="1" applyFont="1" applyFill="1" applyBorder="1" applyProtection="1">
      <protection locked="0"/>
    </xf>
    <xf numFmtId="0" fontId="7" fillId="0" borderId="0" xfId="4" applyNumberFormat="1" applyFont="1" applyBorder="1" applyAlignment="1" applyProtection="1">
      <alignment horizontal="centerContinuous"/>
      <protection locked="0"/>
    </xf>
    <xf numFmtId="0" fontId="8" fillId="0" borderId="0" xfId="3" applyFont="1" applyAlignment="1">
      <alignment horizontal="centerContinuous"/>
    </xf>
    <xf numFmtId="181" fontId="3" fillId="0" borderId="0" xfId="4" applyNumberFormat="1" applyFont="1" applyFill="1" applyBorder="1" applyAlignment="1" applyProtection="1">
      <alignment horizontal="right"/>
      <protection locked="0"/>
    </xf>
    <xf numFmtId="181" fontId="8" fillId="0" borderId="0" xfId="4" applyNumberFormat="1" applyFont="1" applyFill="1" applyBorder="1" applyAlignment="1" applyProtection="1">
      <alignment horizontal="right"/>
      <protection locked="0"/>
    </xf>
    <xf numFmtId="180" fontId="10" fillId="0" borderId="14" xfId="2" applyNumberFormat="1" applyFont="1" applyFill="1" applyBorder="1" applyAlignment="1" applyProtection="1">
      <alignment horizontal="right" wrapText="1"/>
      <protection locked="0"/>
    </xf>
    <xf numFmtId="168" fontId="3" fillId="0" borderId="0" xfId="5" applyNumberFormat="1" applyFont="1" applyFill="1" applyBorder="1" applyAlignment="1" applyProtection="1">
      <alignment horizontal="right"/>
      <protection locked="0"/>
    </xf>
    <xf numFmtId="182" fontId="10" fillId="0" borderId="14" xfId="2" applyNumberFormat="1" applyFont="1" applyFill="1" applyBorder="1" applyAlignment="1" applyProtection="1">
      <alignment horizontal="right" wrapText="1"/>
      <protection locked="0"/>
    </xf>
    <xf numFmtId="0" fontId="26" fillId="2" borderId="0" xfId="0" applyFont="1" applyFill="1"/>
    <xf numFmtId="0" fontId="27" fillId="0" borderId="0" xfId="0" applyFont="1"/>
    <xf numFmtId="168" fontId="11" fillId="0" borderId="13" xfId="0" applyNumberFormat="1" applyFont="1" applyBorder="1" applyAlignment="1">
      <alignment vertical="center"/>
    </xf>
    <xf numFmtId="168" fontId="28" fillId="0" borderId="14" xfId="0" applyNumberFormat="1" applyFont="1" applyBorder="1" applyAlignment="1">
      <alignment vertical="center"/>
    </xf>
    <xf numFmtId="168" fontId="28" fillId="0" borderId="15" xfId="0" applyNumberFormat="1" applyFont="1" applyBorder="1" applyAlignment="1">
      <alignment vertical="center"/>
    </xf>
    <xf numFmtId="0" fontId="29" fillId="0" borderId="0" xfId="0" applyFont="1"/>
    <xf numFmtId="168" fontId="8" fillId="0" borderId="14" xfId="0" applyNumberFormat="1" applyFont="1" applyBorder="1" applyAlignment="1">
      <alignment vertical="center"/>
    </xf>
    <xf numFmtId="168" fontId="8" fillId="0" borderId="15" xfId="0" applyNumberFormat="1" applyFont="1" applyBorder="1" applyAlignment="1">
      <alignment vertical="center"/>
    </xf>
    <xf numFmtId="0" fontId="2" fillId="3" borderId="19" xfId="0" applyFont="1" applyFill="1" applyBorder="1"/>
    <xf numFmtId="168" fontId="8" fillId="0" borderId="0" xfId="0" applyNumberFormat="1" applyFont="1"/>
    <xf numFmtId="168" fontId="8" fillId="0" borderId="0" xfId="0" applyNumberFormat="1" applyFont="1" applyAlignment="1">
      <alignment vertical="center"/>
    </xf>
    <xf numFmtId="168" fontId="8" fillId="0" borderId="20" xfId="0" applyNumberFormat="1" applyFont="1" applyBorder="1" applyAlignment="1">
      <alignment vertical="center"/>
    </xf>
    <xf numFmtId="168" fontId="3" fillId="0" borderId="0" xfId="0" applyNumberFormat="1" applyFont="1" applyAlignment="1">
      <alignment vertical="center"/>
    </xf>
    <xf numFmtId="168" fontId="3" fillId="0" borderId="20" xfId="0" applyNumberFormat="1" applyFont="1" applyBorder="1" applyAlignment="1">
      <alignment vertical="center"/>
    </xf>
    <xf numFmtId="0" fontId="2" fillId="3" borderId="21" xfId="0" applyFont="1" applyFill="1" applyBorder="1"/>
    <xf numFmtId="168" fontId="8" fillId="0" borderId="22" xfId="0" applyNumberFormat="1" applyFont="1" applyBorder="1" applyAlignment="1">
      <alignment vertical="center"/>
    </xf>
    <xf numFmtId="168" fontId="8" fillId="0" borderId="23" xfId="0" applyNumberFormat="1" applyFont="1" applyBorder="1" applyAlignment="1">
      <alignment vertical="center"/>
    </xf>
    <xf numFmtId="168" fontId="3" fillId="0" borderId="14" xfId="0" applyNumberFormat="1" applyFont="1" applyBorder="1" applyAlignment="1">
      <alignment vertical="center"/>
    </xf>
    <xf numFmtId="184" fontId="8" fillId="0" borderId="0" xfId="4" applyNumberFormat="1" applyFont="1" applyFill="1" applyBorder="1" applyAlignment="1" applyProtection="1">
      <alignment horizontal="left" indent="1"/>
      <protection locked="0"/>
    </xf>
    <xf numFmtId="168" fontId="11" fillId="0" borderId="14" xfId="0" applyNumberFormat="1" applyFont="1" applyBorder="1" applyAlignment="1">
      <alignment vertical="center"/>
    </xf>
    <xf numFmtId="0" fontId="2" fillId="3" borderId="0" xfId="0" applyFont="1" applyFill="1"/>
    <xf numFmtId="0" fontId="2" fillId="3" borderId="22" xfId="0" applyFont="1" applyFill="1" applyBorder="1"/>
    <xf numFmtId="0" fontId="2" fillId="3" borderId="26" xfId="0" applyFont="1" applyFill="1" applyBorder="1"/>
    <xf numFmtId="0" fontId="29" fillId="0" borderId="7" xfId="0" applyFont="1" applyBorder="1" applyAlignment="1">
      <alignment horizontal="centerContinuous"/>
    </xf>
    <xf numFmtId="183" fontId="2" fillId="0" borderId="0" xfId="0" applyNumberFormat="1" applyFont="1"/>
    <xf numFmtId="168" fontId="28" fillId="0" borderId="0" xfId="0" applyNumberFormat="1" applyFont="1" applyAlignment="1">
      <alignment vertical="center"/>
    </xf>
    <xf numFmtId="178" fontId="7" fillId="0" borderId="0" xfId="0" applyNumberFormat="1" applyFont="1" applyAlignment="1">
      <alignment vertical="center"/>
    </xf>
    <xf numFmtId="168" fontId="3" fillId="0" borderId="15" xfId="0" applyNumberFormat="1" applyFont="1" applyBorder="1" applyAlignment="1">
      <alignment vertical="center"/>
    </xf>
    <xf numFmtId="168" fontId="3" fillId="0" borderId="13" xfId="0" applyNumberFormat="1" applyFont="1" applyBorder="1" applyAlignment="1">
      <alignment vertical="center"/>
    </xf>
    <xf numFmtId="0" fontId="8" fillId="0" borderId="0" xfId="4" applyNumberFormat="1" applyFont="1" applyFill="1" applyBorder="1" applyAlignment="1" applyProtection="1">
      <protection locked="0"/>
    </xf>
    <xf numFmtId="0" fontId="8" fillId="0" borderId="0" xfId="4" applyNumberFormat="1" applyFont="1" applyFill="1" applyBorder="1" applyAlignment="1" applyProtection="1">
      <alignment horizontal="left"/>
      <protection locked="0"/>
    </xf>
    <xf numFmtId="173" fontId="2" fillId="0" borderId="0" xfId="0" applyNumberFormat="1" applyFont="1"/>
    <xf numFmtId="178" fontId="2" fillId="0" borderId="0" xfId="0" applyNumberFormat="1" applyFont="1"/>
    <xf numFmtId="0" fontId="10" fillId="2" borderId="1" xfId="7" applyFont="1" applyFill="1" applyBorder="1" applyAlignment="1">
      <alignment horizontal="right" vertical="top" wrapText="1"/>
    </xf>
    <xf numFmtId="178" fontId="2" fillId="0" borderId="0" xfId="0" applyNumberFormat="1" applyFont="1" applyAlignment="1">
      <alignment horizontal="right"/>
    </xf>
    <xf numFmtId="178" fontId="3" fillId="0" borderId="0" xfId="0" applyNumberFormat="1" applyFont="1"/>
    <xf numFmtId="0" fontId="32" fillId="0" borderId="0" xfId="0" applyFont="1" applyAlignment="1">
      <alignment horizontal="center" vertical="center"/>
    </xf>
    <xf numFmtId="0" fontId="33" fillId="0" borderId="0" xfId="3" applyFont="1" applyAlignment="1">
      <alignment horizontal="left" vertical="top"/>
    </xf>
    <xf numFmtId="0" fontId="33" fillId="0" borderId="0" xfId="3" applyFont="1" applyAlignment="1">
      <alignment horizontal="right" vertical="top" wrapText="1"/>
    </xf>
    <xf numFmtId="0" fontId="2" fillId="0" borderId="0" xfId="0" applyFont="1" applyAlignment="1">
      <alignment horizontal="right" vertical="top" wrapText="1"/>
    </xf>
    <xf numFmtId="14" fontId="33" fillId="0" borderId="0" xfId="3" applyNumberFormat="1" applyFont="1" applyAlignment="1">
      <alignment horizontal="right" vertical="top" wrapText="1"/>
    </xf>
    <xf numFmtId="14" fontId="2" fillId="0" borderId="0" xfId="0" applyNumberFormat="1" applyFont="1" applyAlignment="1">
      <alignment horizontal="right" vertical="top" wrapText="1"/>
    </xf>
    <xf numFmtId="0" fontId="34" fillId="0" borderId="0" xfId="3" applyFont="1" applyAlignment="1">
      <alignment horizontal="left" vertical="top"/>
    </xf>
    <xf numFmtId="173" fontId="33" fillId="0" borderId="0" xfId="3" applyNumberFormat="1" applyFont="1" applyAlignment="1">
      <alignment horizontal="right" vertical="top" wrapText="1"/>
    </xf>
    <xf numFmtId="173" fontId="2" fillId="0" borderId="0" xfId="0" applyNumberFormat="1" applyFont="1" applyAlignment="1">
      <alignment horizontal="right" vertical="top" wrapText="1"/>
    </xf>
    <xf numFmtId="174" fontId="33" fillId="0" borderId="0" xfId="3" applyNumberFormat="1" applyFont="1" applyAlignment="1">
      <alignment horizontal="right" vertical="top" wrapText="1"/>
    </xf>
    <xf numFmtId="174" fontId="2" fillId="0" borderId="0" xfId="0" applyNumberFormat="1" applyFont="1" applyAlignment="1">
      <alignment horizontal="right" vertical="top" wrapText="1"/>
    </xf>
    <xf numFmtId="0" fontId="33" fillId="0" borderId="0" xfId="3" applyFont="1"/>
    <xf numFmtId="173" fontId="34" fillId="0" borderId="0" xfId="3" applyNumberFormat="1" applyFont="1" applyAlignment="1">
      <alignment horizontal="right" vertical="top" wrapText="1"/>
    </xf>
    <xf numFmtId="173" fontId="34" fillId="0" borderId="0" xfId="0" applyNumberFormat="1" applyFont="1" applyAlignment="1">
      <alignment horizontal="right" vertical="top" wrapText="1"/>
    </xf>
    <xf numFmtId="0" fontId="2" fillId="0" borderId="28" xfId="0" applyFont="1" applyBorder="1"/>
    <xf numFmtId="0" fontId="2" fillId="0" borderId="29" xfId="0" applyFont="1" applyBorder="1"/>
    <xf numFmtId="0" fontId="2" fillId="0" borderId="31" xfId="0" applyFont="1" applyBorder="1"/>
    <xf numFmtId="0" fontId="2" fillId="0" borderId="9" xfId="0" applyFont="1" applyBorder="1"/>
    <xf numFmtId="0" fontId="2" fillId="0" borderId="33" xfId="0" applyFont="1" applyBorder="1"/>
    <xf numFmtId="0" fontId="2" fillId="0" borderId="22" xfId="0" applyFont="1" applyBorder="1"/>
    <xf numFmtId="0" fontId="2" fillId="0" borderId="35" xfId="0" applyFont="1" applyBorder="1"/>
    <xf numFmtId="169" fontId="2" fillId="0" borderId="27" xfId="0" applyNumberFormat="1" applyFont="1" applyBorder="1"/>
    <xf numFmtId="169" fontId="2" fillId="0" borderId="28" xfId="0" applyNumberFormat="1" applyFont="1" applyBorder="1"/>
    <xf numFmtId="169" fontId="2" fillId="0" borderId="30" xfId="0" applyNumberFormat="1" applyFont="1" applyBorder="1"/>
    <xf numFmtId="169" fontId="2" fillId="0" borderId="34" xfId="0" applyNumberFormat="1" applyFont="1" applyBorder="1"/>
    <xf numFmtId="169" fontId="2" fillId="0" borderId="22" xfId="0" applyNumberFormat="1" applyFont="1" applyBorder="1"/>
    <xf numFmtId="168" fontId="2" fillId="0" borderId="30" xfId="0" applyNumberFormat="1" applyFont="1" applyBorder="1"/>
    <xf numFmtId="168" fontId="2" fillId="0" borderId="32" xfId="0" applyNumberFormat="1" applyFont="1" applyBorder="1"/>
    <xf numFmtId="168" fontId="2" fillId="0" borderId="9" xfId="0" applyNumberFormat="1" applyFont="1" applyBorder="1"/>
    <xf numFmtId="169" fontId="29" fillId="0" borderId="36" xfId="0" applyNumberFormat="1" applyFont="1" applyBorder="1"/>
    <xf numFmtId="169" fontId="29" fillId="0" borderId="37" xfId="0" applyNumberFormat="1" applyFont="1" applyBorder="1"/>
    <xf numFmtId="168" fontId="29" fillId="0" borderId="37" xfId="0" applyNumberFormat="1" applyFont="1" applyBorder="1"/>
    <xf numFmtId="168" fontId="29" fillId="0" borderId="38" xfId="0" applyNumberFormat="1" applyFont="1" applyBorder="1"/>
    <xf numFmtId="169" fontId="3" fillId="0" borderId="27" xfId="0" applyNumberFormat="1" applyFont="1" applyBorder="1"/>
    <xf numFmtId="169" fontId="3" fillId="0" borderId="28" xfId="0" applyNumberFormat="1" applyFont="1" applyBorder="1"/>
    <xf numFmtId="169" fontId="3" fillId="0" borderId="30" xfId="0" applyNumberFormat="1" applyFont="1" applyBorder="1"/>
    <xf numFmtId="169" fontId="3" fillId="0" borderId="34" xfId="0" applyNumberFormat="1" applyFont="1" applyBorder="1"/>
    <xf numFmtId="169" fontId="3" fillId="0" borderId="22" xfId="0" applyNumberFormat="1" applyFont="1" applyBorder="1"/>
    <xf numFmtId="168" fontId="3" fillId="0" borderId="30" xfId="0" applyNumberFormat="1" applyFont="1" applyBorder="1"/>
    <xf numFmtId="168" fontId="3" fillId="0" borderId="0" xfId="0" applyNumberFormat="1" applyFont="1"/>
    <xf numFmtId="168" fontId="3" fillId="0" borderId="32" xfId="0" applyNumberFormat="1" applyFont="1" applyBorder="1"/>
    <xf numFmtId="168" fontId="3" fillId="0" borderId="9" xfId="0" applyNumberFormat="1" applyFont="1" applyBorder="1"/>
    <xf numFmtId="169" fontId="2" fillId="0" borderId="29" xfId="0" applyNumberFormat="1" applyFont="1" applyBorder="1"/>
    <xf numFmtId="169" fontId="2" fillId="0" borderId="31" xfId="0" applyNumberFormat="1" applyFont="1" applyBorder="1"/>
    <xf numFmtId="169" fontId="2" fillId="0" borderId="35" xfId="0" applyNumberFormat="1" applyFont="1" applyBorder="1"/>
    <xf numFmtId="168" fontId="8" fillId="0" borderId="31" xfId="0" applyNumberFormat="1" applyFont="1" applyBorder="1" applyAlignment="1">
      <alignment vertical="center"/>
    </xf>
    <xf numFmtId="168" fontId="8" fillId="0" borderId="9" xfId="0" applyNumberFormat="1" applyFont="1" applyBorder="1" applyAlignment="1">
      <alignment vertical="center"/>
    </xf>
    <xf numFmtId="168" fontId="8" fillId="0" borderId="33" xfId="0" applyNumberFormat="1" applyFont="1" applyBorder="1" applyAlignment="1">
      <alignment vertical="center"/>
    </xf>
    <xf numFmtId="0" fontId="35" fillId="0" borderId="0" xfId="0" applyFont="1" applyAlignment="1">
      <alignment horizontal="right"/>
    </xf>
    <xf numFmtId="169" fontId="3" fillId="4" borderId="13" xfId="0" applyNumberFormat="1" applyFont="1" applyFill="1" applyBorder="1"/>
    <xf numFmtId="169" fontId="3" fillId="0" borderId="14" xfId="0" applyNumberFormat="1" applyFont="1" applyBorder="1"/>
    <xf numFmtId="169" fontId="2" fillId="0" borderId="14" xfId="0" applyNumberFormat="1" applyFont="1" applyBorder="1"/>
    <xf numFmtId="169" fontId="3" fillId="0" borderId="15" xfId="0" applyNumberFormat="1" applyFont="1" applyBorder="1"/>
    <xf numFmtId="0" fontId="28" fillId="0" borderId="15" xfId="0" applyFont="1" applyBorder="1"/>
    <xf numFmtId="169" fontId="3" fillId="4" borderId="14" xfId="0" applyNumberFormat="1" applyFont="1" applyFill="1" applyBorder="1"/>
    <xf numFmtId="169" fontId="8" fillId="0" borderId="14" xfId="0" applyNumberFormat="1" applyFont="1" applyBorder="1"/>
    <xf numFmtId="168" fontId="28" fillId="0" borderId="15" xfId="0" applyNumberFormat="1" applyFont="1" applyBorder="1"/>
    <xf numFmtId="185" fontId="3" fillId="0" borderId="36" xfId="0" applyNumberFormat="1" applyFont="1" applyBorder="1" applyAlignment="1">
      <alignment vertical="center"/>
    </xf>
    <xf numFmtId="168" fontId="3" fillId="0" borderId="37" xfId="0" applyNumberFormat="1" applyFont="1" applyBorder="1" applyAlignment="1">
      <alignment vertical="center"/>
    </xf>
    <xf numFmtId="186" fontId="3" fillId="0" borderId="38" xfId="0" applyNumberFormat="1" applyFont="1" applyBorder="1" applyAlignment="1">
      <alignment vertical="center"/>
    </xf>
    <xf numFmtId="185" fontId="3" fillId="0" borderId="38" xfId="0" applyNumberFormat="1" applyFont="1" applyBorder="1" applyAlignment="1">
      <alignment vertical="center"/>
    </xf>
    <xf numFmtId="186" fontId="3" fillId="0" borderId="36" xfId="0" applyNumberFormat="1" applyFont="1" applyBorder="1" applyAlignment="1">
      <alignment vertical="center"/>
    </xf>
    <xf numFmtId="169" fontId="8" fillId="0" borderId="0" xfId="3" applyNumberFormat="1" applyFont="1"/>
    <xf numFmtId="169" fontId="7" fillId="0" borderId="39" xfId="0" applyNumberFormat="1" applyFont="1" applyBorder="1"/>
    <xf numFmtId="169" fontId="7" fillId="0" borderId="40" xfId="0" applyNumberFormat="1" applyFont="1" applyBorder="1"/>
    <xf numFmtId="169" fontId="29" fillId="0" borderId="40" xfId="0" applyNumberFormat="1" applyFont="1" applyBorder="1"/>
    <xf numFmtId="169" fontId="29" fillId="0" borderId="41" xfId="0" applyNumberFormat="1" applyFont="1" applyBorder="1"/>
    <xf numFmtId="169" fontId="2" fillId="0" borderId="13" xfId="0" applyNumberFormat="1" applyFont="1" applyBorder="1"/>
    <xf numFmtId="169" fontId="2" fillId="0" borderId="15" xfId="0" applyNumberFormat="1" applyFont="1" applyBorder="1"/>
    <xf numFmtId="169" fontId="2" fillId="0" borderId="9" xfId="0" applyNumberFormat="1" applyFont="1" applyBorder="1"/>
    <xf numFmtId="169" fontId="28" fillId="0" borderId="9" xfId="0" applyNumberFormat="1" applyFont="1" applyBorder="1"/>
    <xf numFmtId="169" fontId="28" fillId="0" borderId="0" xfId="0" applyNumberFormat="1" applyFont="1"/>
    <xf numFmtId="169" fontId="3" fillId="0" borderId="9" xfId="0" applyNumberFormat="1" applyFont="1" applyBorder="1"/>
    <xf numFmtId="0" fontId="2" fillId="5" borderId="43" xfId="0" applyFont="1" applyFill="1" applyBorder="1"/>
    <xf numFmtId="0" fontId="2" fillId="5" borderId="44" xfId="0" applyFont="1" applyFill="1" applyBorder="1"/>
    <xf numFmtId="168" fontId="28" fillId="0" borderId="44" xfId="0" applyNumberFormat="1" applyFont="1" applyBorder="1" applyAlignment="1">
      <alignment vertical="center"/>
    </xf>
    <xf numFmtId="168" fontId="28" fillId="0" borderId="45" xfId="0" applyNumberFormat="1" applyFont="1" applyBorder="1" applyAlignment="1">
      <alignment vertical="center"/>
    </xf>
    <xf numFmtId="0" fontId="2" fillId="5" borderId="19" xfId="0" applyFont="1" applyFill="1" applyBorder="1"/>
    <xf numFmtId="0" fontId="2" fillId="5" borderId="0" xfId="0" applyFont="1" applyFill="1"/>
    <xf numFmtId="168" fontId="28" fillId="0" borderId="20" xfId="0" applyNumberFormat="1" applyFont="1" applyBorder="1" applyAlignment="1">
      <alignment vertical="center"/>
    </xf>
    <xf numFmtId="0" fontId="2" fillId="5" borderId="21" xfId="0" applyFont="1" applyFill="1" applyBorder="1"/>
    <xf numFmtId="0" fontId="2" fillId="5" borderId="22" xfId="0" applyFont="1" applyFill="1" applyBorder="1"/>
    <xf numFmtId="168" fontId="28" fillId="0" borderId="22" xfId="0" applyNumberFormat="1" applyFont="1" applyBorder="1" applyAlignment="1">
      <alignment vertical="center"/>
    </xf>
    <xf numFmtId="168" fontId="28" fillId="0" borderId="23" xfId="0" applyNumberFormat="1" applyFont="1" applyBorder="1" applyAlignment="1">
      <alignment vertical="center"/>
    </xf>
    <xf numFmtId="169" fontId="8" fillId="0" borderId="9" xfId="0" applyNumberFormat="1" applyFont="1" applyBorder="1"/>
    <xf numFmtId="169" fontId="8" fillId="0" borderId="0" xfId="0" applyNumberFormat="1" applyFont="1"/>
    <xf numFmtId="0" fontId="8" fillId="0" borderId="0" xfId="0" applyFont="1"/>
    <xf numFmtId="0" fontId="27" fillId="0" borderId="0" xfId="0" applyFont="1" applyAlignment="1">
      <alignment horizontal="left"/>
    </xf>
    <xf numFmtId="0" fontId="29" fillId="0" borderId="0" xfId="0" applyFont="1" applyAlignment="1">
      <alignment horizontal="left" indent="1"/>
    </xf>
    <xf numFmtId="0" fontId="2" fillId="0" borderId="0" xfId="0" applyFont="1" applyAlignment="1">
      <alignment horizontal="left" indent="1"/>
    </xf>
    <xf numFmtId="0" fontId="8" fillId="0" borderId="0" xfId="4" applyNumberFormat="1" applyFont="1" applyFill="1" applyBorder="1" applyAlignment="1" applyProtection="1">
      <alignment horizontal="left" indent="2"/>
      <protection locked="0"/>
    </xf>
    <xf numFmtId="0" fontId="35" fillId="0" borderId="0" xfId="0" applyFont="1"/>
    <xf numFmtId="166" fontId="13" fillId="0" borderId="24" xfId="0" applyNumberFormat="1" applyFont="1" applyBorder="1"/>
    <xf numFmtId="183" fontId="29" fillId="0" borderId="25" xfId="0" applyNumberFormat="1" applyFont="1" applyBorder="1"/>
    <xf numFmtId="169" fontId="29" fillId="0" borderId="0" xfId="0" applyNumberFormat="1" applyFont="1"/>
    <xf numFmtId="0" fontId="29" fillId="0" borderId="0" xfId="0" applyFont="1" applyAlignment="1">
      <alignment horizontal="center"/>
    </xf>
    <xf numFmtId="168" fontId="28" fillId="0" borderId="42" xfId="0" applyNumberFormat="1" applyFont="1" applyBorder="1" applyAlignment="1">
      <alignment horizontal="center"/>
    </xf>
    <xf numFmtId="166" fontId="13" fillId="0" borderId="24" xfId="0" applyNumberFormat="1" applyFont="1" applyBorder="1" applyAlignment="1">
      <alignment horizontal="right"/>
    </xf>
    <xf numFmtId="9" fontId="2" fillId="0" borderId="0" xfId="0" applyNumberFormat="1" applyFont="1"/>
    <xf numFmtId="169" fontId="8" fillId="0" borderId="22" xfId="0" applyNumberFormat="1" applyFont="1" applyBorder="1"/>
    <xf numFmtId="169" fontId="29" fillId="0" borderId="46" xfId="0" applyNumberFormat="1" applyFont="1" applyBorder="1"/>
    <xf numFmtId="183" fontId="7" fillId="0" borderId="25" xfId="0" applyNumberFormat="1" applyFont="1" applyBorder="1"/>
    <xf numFmtId="168" fontId="28" fillId="0" borderId="43" xfId="0" applyNumberFormat="1" applyFont="1" applyBorder="1"/>
    <xf numFmtId="168" fontId="28" fillId="0" borderId="44" xfId="0" applyNumberFormat="1" applyFont="1" applyBorder="1"/>
    <xf numFmtId="168" fontId="28" fillId="0" borderId="45" xfId="0" applyNumberFormat="1" applyFont="1" applyBorder="1"/>
    <xf numFmtId="168" fontId="28" fillId="0" borderId="21" xfId="0" applyNumberFormat="1" applyFont="1" applyBorder="1"/>
    <xf numFmtId="168" fontId="28" fillId="0" borderId="22" xfId="0" applyNumberFormat="1" applyFont="1" applyBorder="1"/>
    <xf numFmtId="168" fontId="28" fillId="0" borderId="23" xfId="0" applyNumberFormat="1" applyFont="1" applyBorder="1"/>
    <xf numFmtId="169" fontId="28" fillId="0" borderId="43" xfId="0" applyNumberFormat="1" applyFont="1" applyBorder="1"/>
    <xf numFmtId="169" fontId="2" fillId="0" borderId="44" xfId="0" applyNumberFormat="1" applyFont="1" applyBorder="1"/>
    <xf numFmtId="169" fontId="2" fillId="0" borderId="45" xfId="0" applyNumberFormat="1" applyFont="1" applyBorder="1"/>
    <xf numFmtId="169" fontId="2" fillId="0" borderId="19" xfId="0" applyNumberFormat="1" applyFont="1" applyBorder="1"/>
    <xf numFmtId="169" fontId="2" fillId="0" borderId="20" xfId="0" applyNumberFormat="1" applyFont="1" applyBorder="1"/>
    <xf numFmtId="169" fontId="2" fillId="0" borderId="21" xfId="0" applyNumberFormat="1" applyFont="1" applyBorder="1"/>
    <xf numFmtId="169" fontId="2" fillId="0" borderId="23" xfId="0" applyNumberFormat="1" applyFont="1" applyBorder="1"/>
    <xf numFmtId="169" fontId="29" fillId="0" borderId="7" xfId="0" applyNumberFormat="1" applyFont="1" applyBorder="1"/>
    <xf numFmtId="169" fontId="28" fillId="0" borderId="27" xfId="0" applyNumberFormat="1" applyFont="1" applyBorder="1"/>
    <xf numFmtId="169" fontId="28" fillId="0" borderId="28" xfId="0" applyNumberFormat="1" applyFont="1" applyBorder="1"/>
    <xf numFmtId="169" fontId="28" fillId="0" borderId="29" xfId="0" applyNumberFormat="1" applyFont="1" applyBorder="1"/>
    <xf numFmtId="169" fontId="28" fillId="0" borderId="30" xfId="0" applyNumberFormat="1" applyFont="1" applyBorder="1"/>
    <xf numFmtId="169" fontId="28" fillId="0" borderId="31" xfId="0" applyNumberFormat="1" applyFont="1" applyBorder="1"/>
    <xf numFmtId="169" fontId="28" fillId="0" borderId="34" xfId="0" applyNumberFormat="1" applyFont="1" applyBorder="1"/>
    <xf numFmtId="169" fontId="28" fillId="0" borderId="22" xfId="0" applyNumberFormat="1" applyFont="1" applyBorder="1"/>
    <xf numFmtId="169" fontId="28" fillId="0" borderId="35" xfId="0" applyNumberFormat="1" applyFont="1" applyBorder="1"/>
    <xf numFmtId="168" fontId="28" fillId="0" borderId="30" xfId="0" applyNumberFormat="1" applyFont="1" applyBorder="1"/>
    <xf numFmtId="168" fontId="28" fillId="0" borderId="0" xfId="0" applyNumberFormat="1" applyFont="1"/>
    <xf numFmtId="168" fontId="28" fillId="0" borderId="31" xfId="0" applyNumberFormat="1" applyFont="1" applyBorder="1" applyAlignment="1">
      <alignment vertical="center"/>
    </xf>
    <xf numFmtId="168" fontId="28" fillId="0" borderId="32" xfId="0" applyNumberFormat="1" applyFont="1" applyBorder="1"/>
    <xf numFmtId="168" fontId="28" fillId="0" borderId="9" xfId="0" applyNumberFormat="1" applyFont="1" applyBorder="1"/>
    <xf numFmtId="168" fontId="28" fillId="0" borderId="9" xfId="0" applyNumberFormat="1" applyFont="1" applyBorder="1" applyAlignment="1">
      <alignment vertical="center"/>
    </xf>
    <xf numFmtId="168" fontId="28" fillId="0" borderId="33" xfId="0" applyNumberFormat="1" applyFont="1" applyBorder="1" applyAlignment="1">
      <alignment vertical="center"/>
    </xf>
    <xf numFmtId="169" fontId="8" fillId="0" borderId="43" xfId="0" applyNumberFormat="1" applyFont="1" applyBorder="1"/>
    <xf numFmtId="169" fontId="8" fillId="0" borderId="44" xfId="0" applyNumberFormat="1" applyFont="1" applyBorder="1"/>
    <xf numFmtId="169" fontId="8" fillId="0" borderId="45" xfId="0" applyNumberFormat="1" applyFont="1" applyBorder="1"/>
    <xf numFmtId="169" fontId="8" fillId="0" borderId="19" xfId="0" applyNumberFormat="1" applyFont="1" applyBorder="1"/>
    <xf numFmtId="169" fontId="8" fillId="0" borderId="20" xfId="0" applyNumberFormat="1" applyFont="1" applyBorder="1"/>
    <xf numFmtId="169" fontId="8" fillId="0" borderId="21" xfId="0" applyNumberFormat="1" applyFont="1" applyBorder="1"/>
    <xf numFmtId="169" fontId="8" fillId="0" borderId="23" xfId="0" applyNumberFormat="1" applyFont="1" applyBorder="1"/>
    <xf numFmtId="169" fontId="25" fillId="0" borderId="0" xfId="0" applyNumberFormat="1" applyFont="1"/>
    <xf numFmtId="169" fontId="2" fillId="6" borderId="0" xfId="0" applyNumberFormat="1" applyFont="1" applyFill="1"/>
    <xf numFmtId="0" fontId="2" fillId="0" borderId="0" xfId="0" applyFont="1" applyAlignment="1">
      <alignment horizontal="center"/>
    </xf>
    <xf numFmtId="169" fontId="8" fillId="5" borderId="0" xfId="0" applyNumberFormat="1" applyFont="1" applyFill="1"/>
    <xf numFmtId="169" fontId="7" fillId="0" borderId="9" xfId="0" applyNumberFormat="1" applyFont="1" applyBorder="1"/>
    <xf numFmtId="187" fontId="9" fillId="0" borderId="47" xfId="2" applyNumberFormat="1" applyFont="1" applyFill="1" applyBorder="1" applyAlignment="1" applyProtection="1">
      <alignment horizontal="center"/>
      <protection locked="0"/>
    </xf>
    <xf numFmtId="188" fontId="2" fillId="0" borderId="13" xfId="0" applyNumberFormat="1" applyFont="1" applyBorder="1"/>
    <xf numFmtId="188" fontId="2" fillId="0" borderId="14" xfId="0" applyNumberFormat="1" applyFont="1" applyBorder="1"/>
    <xf numFmtId="188" fontId="2" fillId="0" borderId="15" xfId="0" applyNumberFormat="1" applyFont="1" applyBorder="1"/>
    <xf numFmtId="173" fontId="28" fillId="0" borderId="42" xfId="0" applyNumberFormat="1" applyFont="1" applyBorder="1" applyAlignment="1">
      <alignment horizontal="center" vertical="top" wrapText="1"/>
    </xf>
    <xf numFmtId="169" fontId="2" fillId="0" borderId="48" xfId="0" applyNumberFormat="1" applyFont="1" applyBorder="1"/>
    <xf numFmtId="169" fontId="2" fillId="0" borderId="49" xfId="0" applyNumberFormat="1" applyFont="1" applyBorder="1"/>
    <xf numFmtId="169" fontId="2" fillId="0" borderId="50" xfId="0" applyNumberFormat="1" applyFont="1" applyBorder="1"/>
    <xf numFmtId="169" fontId="3" fillId="0" borderId="13" xfId="0" applyNumberFormat="1" applyFont="1" applyBorder="1" applyAlignment="1">
      <alignment vertical="center"/>
    </xf>
    <xf numFmtId="169" fontId="3" fillId="0" borderId="14" xfId="0" applyNumberFormat="1" applyFont="1" applyBorder="1" applyAlignment="1">
      <alignment vertical="center"/>
    </xf>
    <xf numFmtId="169" fontId="8" fillId="0" borderId="14" xfId="0" applyNumberFormat="1" applyFont="1" applyBorder="1" applyAlignment="1">
      <alignment vertical="center"/>
    </xf>
    <xf numFmtId="9" fontId="13" fillId="0" borderId="38" xfId="0" applyNumberFormat="1" applyFont="1" applyBorder="1" applyAlignment="1">
      <alignment horizontal="center"/>
    </xf>
    <xf numFmtId="169" fontId="7" fillId="0" borderId="0" xfId="0" applyNumberFormat="1" applyFont="1"/>
    <xf numFmtId="191" fontId="28" fillId="0" borderId="47" xfId="2" applyNumberFormat="1" applyFont="1" applyFill="1" applyBorder="1" applyAlignment="1" applyProtection="1">
      <alignment horizontal="center"/>
      <protection locked="0"/>
    </xf>
    <xf numFmtId="190" fontId="2" fillId="0" borderId="21" xfId="0" applyNumberFormat="1" applyFont="1" applyBorder="1"/>
    <xf numFmtId="190" fontId="2" fillId="0" borderId="22" xfId="0" applyNumberFormat="1" applyFont="1" applyBorder="1"/>
    <xf numFmtId="190" fontId="2" fillId="0" borderId="23" xfId="0" applyNumberFormat="1" applyFont="1" applyBorder="1"/>
    <xf numFmtId="169" fontId="29" fillId="0" borderId="9" xfId="0" applyNumberFormat="1" applyFont="1" applyBorder="1"/>
    <xf numFmtId="189" fontId="28" fillId="0" borderId="9" xfId="0" applyNumberFormat="1" applyFont="1" applyBorder="1" applyAlignment="1">
      <alignment vertical="center"/>
    </xf>
    <xf numFmtId="168" fontId="28" fillId="0" borderId="43" xfId="0" applyNumberFormat="1" applyFont="1" applyBorder="1" applyAlignment="1">
      <alignment vertical="center"/>
    </xf>
    <xf numFmtId="169" fontId="29" fillId="0" borderId="28" xfId="0" applyNumberFormat="1" applyFont="1" applyBorder="1"/>
    <xf numFmtId="178" fontId="11" fillId="0" borderId="0" xfId="2" applyNumberFormat="1" applyFont="1" applyBorder="1" applyAlignment="1">
      <alignment horizontal="right"/>
    </xf>
    <xf numFmtId="178" fontId="28" fillId="0" borderId="0" xfId="0" applyNumberFormat="1" applyFont="1" applyAlignment="1">
      <alignment vertical="center"/>
    </xf>
    <xf numFmtId="169" fontId="7" fillId="0" borderId="28" xfId="0" applyNumberFormat="1" applyFont="1" applyBorder="1"/>
    <xf numFmtId="183" fontId="36" fillId="0" borderId="25" xfId="0" applyNumberFormat="1" applyFont="1" applyBorder="1"/>
    <xf numFmtId="178" fontId="17" fillId="0" borderId="0" xfId="3" applyNumberFormat="1" applyFont="1" applyAlignment="1">
      <alignment horizontal="right" vertical="top" wrapText="1"/>
    </xf>
    <xf numFmtId="178" fontId="37" fillId="0" borderId="0" xfId="0" applyNumberFormat="1" applyFont="1" applyAlignment="1">
      <alignment horizontal="right" vertical="top" wrapText="1"/>
    </xf>
    <xf numFmtId="9" fontId="13" fillId="0" borderId="0" xfId="0" applyNumberFormat="1" applyFont="1" applyAlignment="1">
      <alignment horizontal="center"/>
    </xf>
    <xf numFmtId="169" fontId="13" fillId="0" borderId="0" xfId="0" applyNumberFormat="1" applyFont="1" applyAlignment="1">
      <alignment horizontal="center"/>
    </xf>
    <xf numFmtId="185" fontId="3" fillId="0" borderId="18" xfId="0" applyNumberFormat="1" applyFont="1" applyBorder="1" applyAlignment="1">
      <alignment vertical="center"/>
    </xf>
    <xf numFmtId="169" fontId="8" fillId="0" borderId="15" xfId="0" applyNumberFormat="1" applyFont="1" applyBorder="1" applyAlignment="1">
      <alignment vertical="center"/>
    </xf>
    <xf numFmtId="166" fontId="7" fillId="0" borderId="51" xfId="3" applyNumberFormat="1" applyFont="1" applyBorder="1" applyAlignment="1">
      <alignment horizontal="right"/>
    </xf>
    <xf numFmtId="0" fontId="29" fillId="0" borderId="0" xfId="0" applyFont="1" applyAlignment="1">
      <alignment horizontal="centerContinuous"/>
    </xf>
    <xf numFmtId="0" fontId="2" fillId="0" borderId="0" xfId="0" applyFont="1" applyAlignment="1">
      <alignment horizontal="centerContinuous"/>
    </xf>
    <xf numFmtId="192" fontId="2" fillId="0" borderId="18" xfId="0" applyNumberFormat="1" applyFont="1" applyBorder="1"/>
    <xf numFmtId="192" fontId="28" fillId="0" borderId="13" xfId="0" applyNumberFormat="1" applyFont="1" applyBorder="1"/>
    <xf numFmtId="192" fontId="2" fillId="0" borderId="14" xfId="0" applyNumberFormat="1" applyFont="1" applyBorder="1"/>
    <xf numFmtId="192" fontId="2" fillId="0" borderId="15" xfId="0" applyNumberFormat="1" applyFont="1" applyBorder="1"/>
    <xf numFmtId="193" fontId="28" fillId="0" borderId="9" xfId="0" applyNumberFormat="1" applyFont="1" applyBorder="1"/>
    <xf numFmtId="193" fontId="8" fillId="0" borderId="9" xfId="0" applyNumberFormat="1" applyFont="1" applyBorder="1"/>
    <xf numFmtId="0" fontId="29" fillId="0" borderId="9" xfId="0" applyFont="1" applyBorder="1"/>
    <xf numFmtId="0" fontId="29" fillId="0" borderId="9" xfId="0" applyFont="1" applyBorder="1" applyAlignment="1">
      <alignment horizontal="right"/>
    </xf>
    <xf numFmtId="180" fontId="29" fillId="0" borderId="24" xfId="0" applyNumberFormat="1" applyFont="1" applyBorder="1"/>
    <xf numFmtId="194" fontId="3" fillId="0" borderId="0" xfId="0" applyNumberFormat="1" applyFont="1"/>
    <xf numFmtId="168" fontId="2" fillId="0" borderId="0" xfId="0" applyNumberFormat="1" applyFont="1" applyAlignment="1">
      <alignment horizontal="right"/>
    </xf>
    <xf numFmtId="193" fontId="8" fillId="0" borderId="0" xfId="0" applyNumberFormat="1" applyFont="1"/>
    <xf numFmtId="194" fontId="2" fillId="0" borderId="0" xfId="0" applyNumberFormat="1" applyFont="1"/>
    <xf numFmtId="192" fontId="28" fillId="0" borderId="42" xfId="0" applyNumberFormat="1" applyFont="1" applyBorder="1"/>
    <xf numFmtId="168" fontId="21" fillId="0" borderId="0" xfId="0" applyNumberFormat="1" applyFont="1"/>
    <xf numFmtId="175" fontId="3" fillId="0" borderId="22" xfId="4" applyNumberFormat="1" applyFont="1" applyFill="1" applyBorder="1" applyProtection="1">
      <protection locked="0"/>
    </xf>
    <xf numFmtId="169" fontId="28" fillId="0" borderId="13" xfId="0" applyNumberFormat="1" applyFont="1" applyBorder="1"/>
    <xf numFmtId="169" fontId="28" fillId="0" borderId="14" xfId="0" applyNumberFormat="1" applyFont="1" applyBorder="1"/>
    <xf numFmtId="169" fontId="28" fillId="0" borderId="15" xfId="0" applyNumberFormat="1" applyFont="1" applyBorder="1"/>
    <xf numFmtId="168" fontId="3" fillId="0" borderId="31" xfId="0" applyNumberFormat="1" applyFont="1" applyBorder="1" applyAlignment="1">
      <alignment vertical="center"/>
    </xf>
    <xf numFmtId="167" fontId="28" fillId="0" borderId="0" xfId="5" applyNumberFormat="1" applyFont="1" applyFill="1" applyBorder="1" applyAlignment="1" applyProtection="1">
      <alignment horizontal="right"/>
      <protection locked="0"/>
    </xf>
    <xf numFmtId="169" fontId="28" fillId="0" borderId="0" xfId="4" applyNumberFormat="1" applyFont="1" applyFill="1" applyProtection="1">
      <protection locked="0"/>
    </xf>
    <xf numFmtId="169" fontId="38" fillId="0" borderId="9" xfId="3" applyNumberFormat="1" applyFont="1" applyBorder="1" applyAlignment="1">
      <alignment horizontal="left"/>
    </xf>
    <xf numFmtId="175" fontId="28" fillId="0" borderId="0" xfId="4" applyNumberFormat="1" applyFont="1" applyFill="1" applyProtection="1">
      <protection locked="0"/>
    </xf>
    <xf numFmtId="175" fontId="28" fillId="0" borderId="22" xfId="4" applyNumberFormat="1" applyFont="1" applyFill="1" applyBorder="1" applyProtection="1">
      <protection locked="0"/>
    </xf>
    <xf numFmtId="168" fontId="28" fillId="0" borderId="0" xfId="4" applyNumberFormat="1" applyFont="1" applyFill="1" applyBorder="1" applyAlignment="1" applyProtection="1">
      <alignment horizontal="right"/>
      <protection locked="0"/>
    </xf>
    <xf numFmtId="168" fontId="28" fillId="0" borderId="17" xfId="3" applyNumberFormat="1" applyFont="1" applyBorder="1"/>
    <xf numFmtId="177" fontId="28" fillId="0" borderId="0" xfId="5" applyNumberFormat="1" applyFont="1" applyFill="1" applyBorder="1" applyAlignment="1" applyProtection="1">
      <alignment horizontal="right"/>
      <protection locked="0"/>
    </xf>
    <xf numFmtId="169" fontId="28" fillId="0" borderId="0" xfId="4" applyNumberFormat="1" applyFont="1" applyFill="1" applyBorder="1" applyProtection="1">
      <protection locked="0"/>
    </xf>
    <xf numFmtId="177" fontId="28" fillId="0" borderId="10" xfId="5" applyNumberFormat="1" applyFont="1" applyFill="1" applyBorder="1" applyAlignment="1" applyProtection="1">
      <alignment horizontal="right"/>
      <protection locked="0"/>
    </xf>
    <xf numFmtId="177" fontId="38" fillId="0" borderId="12" xfId="5" applyNumberFormat="1" applyFont="1" applyFill="1" applyBorder="1" applyAlignment="1" applyProtection="1">
      <alignment horizontal="right"/>
      <protection locked="0"/>
    </xf>
    <xf numFmtId="169" fontId="38" fillId="0" borderId="11" xfId="4" applyNumberFormat="1" applyFont="1" applyFill="1" applyBorder="1" applyProtection="1">
      <protection locked="0"/>
    </xf>
    <xf numFmtId="169" fontId="28" fillId="0" borderId="0" xfId="3" applyNumberFormat="1" applyFont="1"/>
    <xf numFmtId="0" fontId="39" fillId="0" borderId="9" xfId="0" applyFont="1" applyBorder="1" applyAlignment="1">
      <alignment horizontal="centerContinuous"/>
    </xf>
    <xf numFmtId="0" fontId="26" fillId="0" borderId="0" xfId="0" applyFont="1"/>
    <xf numFmtId="197" fontId="40" fillId="0" borderId="0" xfId="0" applyNumberFormat="1" applyFont="1" applyAlignment="1">
      <alignment horizontal="centerContinuous"/>
    </xf>
    <xf numFmtId="0" fontId="41" fillId="0" borderId="0" xfId="0" applyFont="1" applyAlignment="1">
      <alignment horizontal="centerContinuous"/>
    </xf>
    <xf numFmtId="0" fontId="41" fillId="0" borderId="0" xfId="0" applyFont="1"/>
    <xf numFmtId="195" fontId="40" fillId="0" borderId="0" xfId="0" applyNumberFormat="1" applyFont="1" applyAlignment="1">
      <alignment horizontal="centerContinuous"/>
    </xf>
    <xf numFmtId="196" fontId="40" fillId="0" borderId="0" xfId="0" applyNumberFormat="1" applyFont="1" applyAlignment="1">
      <alignment horizontal="centerContinuous"/>
    </xf>
    <xf numFmtId="183" fontId="13" fillId="0" borderId="25" xfId="0" applyNumberFormat="1" applyFont="1" applyBorder="1"/>
    <xf numFmtId="193" fontId="29" fillId="0" borderId="0" xfId="0" applyNumberFormat="1" applyFont="1"/>
    <xf numFmtId="193" fontId="29" fillId="0" borderId="0" xfId="0" applyNumberFormat="1" applyFont="1" applyAlignment="1">
      <alignment horizontal="right"/>
    </xf>
    <xf numFmtId="0" fontId="42" fillId="0" borderId="0" xfId="0" applyFont="1" applyAlignment="1">
      <alignment horizontal="centerContinuous"/>
    </xf>
    <xf numFmtId="0" fontId="43" fillId="0" borderId="0" xfId="0" applyFont="1" applyAlignment="1">
      <alignment horizontal="centerContinuous"/>
    </xf>
    <xf numFmtId="0" fontId="44" fillId="0" borderId="0" xfId="0" applyFont="1" applyAlignment="1">
      <alignment horizontal="centerContinuous"/>
    </xf>
    <xf numFmtId="0" fontId="2" fillId="0" borderId="9" xfId="0" applyFont="1" applyBorder="1" applyAlignment="1">
      <alignment horizontal="center"/>
    </xf>
    <xf numFmtId="195" fontId="15" fillId="0" borderId="0" xfId="0" applyNumberFormat="1" applyFont="1"/>
    <xf numFmtId="196" fontId="15" fillId="0" borderId="0" xfId="0" applyNumberFormat="1" applyFont="1"/>
    <xf numFmtId="196" fontId="8" fillId="0" borderId="0" xfId="0" applyNumberFormat="1" applyFont="1"/>
    <xf numFmtId="171" fontId="2" fillId="0" borderId="0" xfId="0" applyNumberFormat="1" applyFont="1"/>
    <xf numFmtId="193" fontId="7" fillId="0" borderId="37" xfId="0" applyNumberFormat="1" applyFont="1" applyBorder="1" applyAlignment="1">
      <alignment horizontal="center"/>
    </xf>
    <xf numFmtId="193" fontId="28" fillId="0" borderId="0" xfId="0" applyNumberFormat="1" applyFont="1"/>
    <xf numFmtId="171" fontId="2" fillId="0" borderId="9" xfId="0" applyNumberFormat="1" applyFont="1" applyBorder="1" applyAlignment="1">
      <alignment horizontal="right"/>
    </xf>
    <xf numFmtId="193" fontId="8" fillId="0" borderId="38" xfId="0" applyNumberFormat="1" applyFont="1" applyBorder="1" applyAlignment="1">
      <alignment horizontal="center"/>
    </xf>
    <xf numFmtId="0" fontId="29" fillId="0" borderId="9" xfId="0" applyFont="1" applyBorder="1" applyAlignment="1">
      <alignment horizontal="center"/>
    </xf>
    <xf numFmtId="180" fontId="3" fillId="0" borderId="0" xfId="0" applyNumberFormat="1" applyFont="1"/>
    <xf numFmtId="168" fontId="28" fillId="0" borderId="0" xfId="0" applyNumberFormat="1" applyFont="1" applyAlignment="1">
      <alignment horizontal="center"/>
    </xf>
    <xf numFmtId="193" fontId="28" fillId="0" borderId="0" xfId="0" applyNumberFormat="1" applyFont="1" applyAlignment="1">
      <alignment horizontal="center"/>
    </xf>
    <xf numFmtId="180" fontId="9" fillId="0" borderId="0" xfId="0" applyNumberFormat="1" applyFont="1"/>
    <xf numFmtId="198" fontId="45" fillId="0" borderId="0" xfId="0" applyNumberFormat="1" applyFont="1" applyAlignment="1">
      <alignment horizontal="right"/>
    </xf>
    <xf numFmtId="0" fontId="29" fillId="0" borderId="0" xfId="0" applyFont="1" applyAlignment="1">
      <alignment horizontal="right"/>
    </xf>
    <xf numFmtId="168" fontId="8" fillId="0" borderId="0" xfId="4" applyNumberFormat="1" applyFont="1" applyFill="1" applyBorder="1" applyAlignment="1" applyProtection="1">
      <alignment horizontal="right"/>
      <protection locked="0"/>
    </xf>
    <xf numFmtId="193" fontId="8" fillId="0" borderId="37" xfId="0" applyNumberFormat="1" applyFont="1" applyBorder="1" applyAlignment="1">
      <alignment horizontal="center"/>
    </xf>
    <xf numFmtId="199" fontId="28" fillId="0" borderId="0" xfId="0" applyNumberFormat="1" applyFont="1"/>
    <xf numFmtId="0" fontId="47" fillId="0" borderId="0" xfId="0" applyFont="1" applyAlignment="1">
      <alignment horizontal="centerContinuous"/>
    </xf>
    <xf numFmtId="199" fontId="3" fillId="0" borderId="42" xfId="0" applyNumberFormat="1" applyFont="1" applyBorder="1" applyAlignment="1">
      <alignment horizontal="center"/>
    </xf>
    <xf numFmtId="195" fontId="2" fillId="0" borderId="0" xfId="0" applyNumberFormat="1" applyFont="1" applyAlignment="1">
      <alignment horizontal="center"/>
    </xf>
    <xf numFmtId="199" fontId="0" fillId="0" borderId="31" xfId="0" applyNumberFormat="1" applyBorder="1"/>
    <xf numFmtId="199" fontId="46" fillId="0" borderId="31" xfId="0" applyNumberFormat="1" applyFont="1" applyBorder="1"/>
    <xf numFmtId="199" fontId="0" fillId="0" borderId="9" xfId="0" applyNumberFormat="1" applyBorder="1" applyAlignment="1">
      <alignment horizontal="center"/>
    </xf>
    <xf numFmtId="199" fontId="46" fillId="0" borderId="9" xfId="0" applyNumberFormat="1" applyFont="1" applyBorder="1" applyAlignment="1">
      <alignment horizontal="center"/>
    </xf>
    <xf numFmtId="199" fontId="8" fillId="0" borderId="9" xfId="0" applyNumberFormat="1" applyFont="1" applyBorder="1" applyAlignment="1">
      <alignment horizontal="center"/>
    </xf>
    <xf numFmtId="195" fontId="48" fillId="0" borderId="0" xfId="0" applyNumberFormat="1" applyFont="1"/>
    <xf numFmtId="195" fontId="2" fillId="7" borderId="0" xfId="0" applyNumberFormat="1" applyFont="1" applyFill="1" applyAlignment="1">
      <alignment horizontal="center"/>
    </xf>
    <xf numFmtId="195" fontId="29" fillId="7" borderId="18" xfId="0" applyNumberFormat="1" applyFont="1" applyFill="1" applyBorder="1" applyAlignment="1">
      <alignment horizontal="center"/>
    </xf>
    <xf numFmtId="195" fontId="2" fillId="0" borderId="32" xfId="0" applyNumberFormat="1" applyFont="1" applyBorder="1" applyAlignment="1">
      <alignment horizontal="center"/>
    </xf>
    <xf numFmtId="195" fontId="2" fillId="0" borderId="9" xfId="0" applyNumberFormat="1" applyFont="1" applyBorder="1" applyAlignment="1">
      <alignment horizontal="center"/>
    </xf>
    <xf numFmtId="195" fontId="2" fillId="0" borderId="29" xfId="0" applyNumberFormat="1" applyFont="1" applyBorder="1" applyAlignment="1">
      <alignment horizontal="center"/>
    </xf>
    <xf numFmtId="195" fontId="2" fillId="0" borderId="31" xfId="0" applyNumberFormat="1" applyFont="1" applyBorder="1" applyAlignment="1">
      <alignment horizontal="center"/>
    </xf>
    <xf numFmtId="195" fontId="2" fillId="0" borderId="33" xfId="0" applyNumberFormat="1" applyFont="1" applyBorder="1" applyAlignment="1">
      <alignment horizontal="center"/>
    </xf>
    <xf numFmtId="0" fontId="47" fillId="0" borderId="0" xfId="0" applyFont="1"/>
    <xf numFmtId="168" fontId="24" fillId="0" borderId="0" xfId="0" applyNumberFormat="1" applyFont="1" applyAlignment="1">
      <alignment vertical="center"/>
    </xf>
    <xf numFmtId="195" fontId="29" fillId="0" borderId="31" xfId="0" applyNumberFormat="1" applyFont="1" applyBorder="1" applyAlignment="1">
      <alignment horizontal="center"/>
    </xf>
    <xf numFmtId="196" fontId="8" fillId="0" borderId="36" xfId="0" applyNumberFormat="1" applyFont="1" applyBorder="1" applyAlignment="1">
      <alignment horizontal="center"/>
    </xf>
    <xf numFmtId="196" fontId="8" fillId="0" borderId="37" xfId="0" applyNumberFormat="1" applyFont="1" applyBorder="1" applyAlignment="1">
      <alignment horizontal="center"/>
    </xf>
    <xf numFmtId="196" fontId="3" fillId="0" borderId="37" xfId="0" applyNumberFormat="1" applyFont="1" applyBorder="1" applyAlignment="1">
      <alignment horizontal="center"/>
    </xf>
    <xf numFmtId="196" fontId="8" fillId="0" borderId="38" xfId="0" applyNumberFormat="1" applyFont="1" applyBorder="1" applyAlignment="1">
      <alignment horizontal="center"/>
    </xf>
    <xf numFmtId="193" fontId="8" fillId="0" borderId="36" xfId="0" applyNumberFormat="1" applyFont="1" applyBorder="1" applyAlignment="1">
      <alignment horizontal="center"/>
    </xf>
    <xf numFmtId="195" fontId="2" fillId="0" borderId="27" xfId="0" applyNumberFormat="1" applyFont="1" applyBorder="1" applyAlignment="1">
      <alignment horizontal="center"/>
    </xf>
    <xf numFmtId="195" fontId="2" fillId="0" borderId="28" xfId="0" applyNumberFormat="1" applyFont="1" applyBorder="1" applyAlignment="1">
      <alignment horizontal="center"/>
    </xf>
    <xf numFmtId="195" fontId="2" fillId="8" borderId="30" xfId="0" applyNumberFormat="1" applyFont="1" applyFill="1" applyBorder="1" applyAlignment="1">
      <alignment horizontal="center"/>
    </xf>
    <xf numFmtId="195" fontId="2" fillId="8" borderId="0" xfId="0" applyNumberFormat="1" applyFont="1" applyFill="1" applyAlignment="1">
      <alignment horizontal="center"/>
    </xf>
    <xf numFmtId="195" fontId="2" fillId="8" borderId="31" xfId="0" applyNumberFormat="1" applyFont="1" applyFill="1" applyBorder="1" applyAlignment="1">
      <alignment horizontal="center"/>
    </xf>
    <xf numFmtId="195" fontId="29" fillId="9" borderId="18" xfId="0" applyNumberFormat="1" applyFont="1" applyFill="1" applyBorder="1" applyAlignment="1">
      <alignment horizontal="center"/>
    </xf>
    <xf numFmtId="0" fontId="21" fillId="0" borderId="0" xfId="0" applyFont="1" applyAlignment="1">
      <alignment horizontal="centerContinuous"/>
    </xf>
    <xf numFmtId="0" fontId="0" fillId="0" borderId="0" xfId="0" applyAlignment="1">
      <alignment horizontal="centerContinuous"/>
    </xf>
    <xf numFmtId="0" fontId="50" fillId="0" borderId="0" xfId="0" applyFont="1" applyAlignment="1">
      <alignment horizontal="centerContinuous"/>
    </xf>
    <xf numFmtId="183" fontId="7" fillId="0" borderId="36" xfId="0" applyNumberFormat="1" applyFont="1" applyBorder="1" applyAlignment="1">
      <alignment horizontal="center"/>
    </xf>
    <xf numFmtId="200" fontId="13" fillId="0" borderId="24" xfId="0" applyNumberFormat="1" applyFont="1" applyBorder="1"/>
    <xf numFmtId="168" fontId="7" fillId="0" borderId="36" xfId="0" applyNumberFormat="1" applyFont="1" applyBorder="1" applyAlignment="1">
      <alignment horizontal="center" vertical="center"/>
    </xf>
    <xf numFmtId="201" fontId="7" fillId="0" borderId="38" xfId="0" applyNumberFormat="1" applyFont="1" applyBorder="1" applyAlignment="1">
      <alignment horizontal="center"/>
    </xf>
    <xf numFmtId="168" fontId="38" fillId="0" borderId="18" xfId="0" applyNumberFormat="1" applyFont="1" applyBorder="1" applyAlignment="1">
      <alignment horizontal="center" vertical="center"/>
    </xf>
    <xf numFmtId="169" fontId="4" fillId="0" borderId="0" xfId="3" applyNumberFormat="1"/>
    <xf numFmtId="169" fontId="51" fillId="0" borderId="0" xfId="3" applyNumberFormat="1" applyFont="1"/>
    <xf numFmtId="0" fontId="51" fillId="0" borderId="0" xfId="3" applyFont="1"/>
    <xf numFmtId="10" fontId="2" fillId="0" borderId="0" xfId="0" applyNumberFormat="1" applyFont="1"/>
    <xf numFmtId="202" fontId="52" fillId="0" borderId="0" xfId="0" applyNumberFormat="1" applyFont="1" applyAlignment="1">
      <alignment horizontal="right" vertical="top" wrapText="1"/>
    </xf>
    <xf numFmtId="0" fontId="53" fillId="0" borderId="4" xfId="7" applyFont="1" applyBorder="1"/>
    <xf numFmtId="0" fontId="49" fillId="0" borderId="0" xfId="0" applyFont="1" applyAlignment="1">
      <alignment horizontal="centerContinuous"/>
    </xf>
    <xf numFmtId="0" fontId="53" fillId="0" borderId="6" xfId="7" applyFont="1" applyBorder="1"/>
    <xf numFmtId="203" fontId="2" fillId="0" borderId="0" xfId="0" applyNumberFormat="1" applyFont="1"/>
    <xf numFmtId="0" fontId="0" fillId="7" borderId="0" xfId="0" applyFill="1"/>
    <xf numFmtId="0" fontId="55" fillId="7" borderId="0" xfId="0" applyFont="1" applyFill="1"/>
    <xf numFmtId="0" fontId="56" fillId="7" borderId="0" xfId="0" applyFont="1" applyFill="1"/>
    <xf numFmtId="0" fontId="57" fillId="0" borderId="0" xfId="0" applyFont="1"/>
    <xf numFmtId="0" fontId="37" fillId="0" borderId="9" xfId="0" applyFont="1" applyBorder="1"/>
    <xf numFmtId="0" fontId="0" fillId="0" borderId="9" xfId="0" applyBorder="1"/>
    <xf numFmtId="0" fontId="37" fillId="0" borderId="9" xfId="0" applyFont="1" applyBorder="1" applyAlignment="1">
      <alignment horizontal="right"/>
    </xf>
    <xf numFmtId="204" fontId="46" fillId="0" borderId="0" xfId="0" applyNumberFormat="1" applyFont="1"/>
    <xf numFmtId="205" fontId="58" fillId="0" borderId="0" xfId="0" applyNumberFormat="1" applyFont="1"/>
    <xf numFmtId="206" fontId="58" fillId="0" borderId="0" xfId="0" applyNumberFormat="1" applyFont="1"/>
    <xf numFmtId="3" fontId="0" fillId="0" borderId="0" xfId="0" applyNumberFormat="1"/>
    <xf numFmtId="205" fontId="46" fillId="0" borderId="0" xfId="0" applyNumberFormat="1" applyFont="1"/>
    <xf numFmtId="3" fontId="0" fillId="0" borderId="9" xfId="0" applyNumberFormat="1" applyBorder="1"/>
    <xf numFmtId="3" fontId="46" fillId="0" borderId="0" xfId="0" applyNumberFormat="1" applyFont="1"/>
    <xf numFmtId="205" fontId="0" fillId="0" borderId="9" xfId="0" applyNumberFormat="1" applyBorder="1"/>
    <xf numFmtId="206" fontId="58" fillId="0" borderId="9" xfId="0" applyNumberFormat="1" applyFont="1" applyBorder="1"/>
    <xf numFmtId="3" fontId="37" fillId="0" borderId="0" xfId="0" applyNumberFormat="1" applyFont="1"/>
    <xf numFmtId="205" fontId="0" fillId="0" borderId="0" xfId="0" applyNumberFormat="1"/>
    <xf numFmtId="203" fontId="46" fillId="0" borderId="0" xfId="0" applyNumberFormat="1" applyFont="1"/>
    <xf numFmtId="3" fontId="58" fillId="0" borderId="0" xfId="0" applyNumberFormat="1" applyFont="1"/>
    <xf numFmtId="0" fontId="37" fillId="0" borderId="1" xfId="0" applyFont="1" applyBorder="1"/>
    <xf numFmtId="0" fontId="0" fillId="0" borderId="2" xfId="0" applyBorder="1"/>
    <xf numFmtId="203" fontId="37" fillId="0" borderId="3" xfId="0" applyNumberFormat="1" applyFont="1" applyBorder="1"/>
    <xf numFmtId="3" fontId="59" fillId="0" borderId="9" xfId="0" applyNumberFormat="1" applyFont="1" applyBorder="1"/>
    <xf numFmtId="0" fontId="37" fillId="0" borderId="6" xfId="0" applyFont="1" applyBorder="1"/>
    <xf numFmtId="0" fontId="0" fillId="0" borderId="7" xfId="0" applyBorder="1"/>
    <xf numFmtId="206" fontId="37" fillId="0" borderId="8" xfId="0" applyNumberFormat="1" applyFont="1" applyBorder="1"/>
    <xf numFmtId="207" fontId="46" fillId="0" borderId="0" xfId="0" applyNumberFormat="1" applyFont="1"/>
    <xf numFmtId="207" fontId="0" fillId="0" borderId="0" xfId="0" applyNumberFormat="1"/>
    <xf numFmtId="0" fontId="37" fillId="0" borderId="0" xfId="0" applyFont="1"/>
    <xf numFmtId="0" fontId="60" fillId="0" borderId="0" xfId="0" applyFont="1"/>
    <xf numFmtId="203" fontId="60" fillId="0" borderId="0" xfId="0" applyNumberFormat="1" applyFont="1"/>
    <xf numFmtId="0" fontId="0" fillId="0" borderId="52" xfId="0" applyBorder="1" applyAlignment="1">
      <alignment horizontal="center"/>
    </xf>
    <xf numFmtId="203" fontId="46" fillId="0" borderId="53" xfId="0" applyNumberFormat="1" applyFont="1" applyBorder="1" applyAlignment="1">
      <alignment horizontal="center"/>
    </xf>
    <xf numFmtId="205" fontId="37" fillId="0" borderId="9" xfId="0" applyNumberFormat="1" applyFont="1" applyBorder="1"/>
    <xf numFmtId="0" fontId="61" fillId="0" borderId="9" xfId="0" applyFont="1" applyBorder="1"/>
    <xf numFmtId="0" fontId="54" fillId="0" borderId="9" xfId="0" applyFont="1" applyBorder="1"/>
    <xf numFmtId="203" fontId="60" fillId="0" borderId="9" xfId="0" applyNumberFormat="1" applyFont="1" applyBorder="1"/>
    <xf numFmtId="205" fontId="37" fillId="0" borderId="0" xfId="0" applyNumberFormat="1" applyFont="1"/>
    <xf numFmtId="203" fontId="60" fillId="0" borderId="28" xfId="0" applyNumberFormat="1" applyFont="1" applyBorder="1"/>
    <xf numFmtId="206" fontId="0" fillId="0" borderId="0" xfId="0" applyNumberFormat="1"/>
    <xf numFmtId="0" fontId="62" fillId="7" borderId="0" xfId="0" applyFont="1" applyFill="1"/>
    <xf numFmtId="0" fontId="0" fillId="0" borderId="13" xfId="0" applyBorder="1"/>
    <xf numFmtId="9" fontId="46" fillId="0" borderId="15" xfId="0" applyNumberFormat="1" applyFont="1" applyBorder="1"/>
    <xf numFmtId="205" fontId="59" fillId="0" borderId="9" xfId="0" applyNumberFormat="1" applyFont="1" applyBorder="1"/>
    <xf numFmtId="0" fontId="46" fillId="0" borderId="0" xfId="0" applyFont="1"/>
    <xf numFmtId="205" fontId="37" fillId="0" borderId="7" xfId="0" applyNumberFormat="1" applyFont="1" applyBorder="1"/>
    <xf numFmtId="0" fontId="47" fillId="0" borderId="0" xfId="0" applyFont="1" applyAlignment="1">
      <alignment horizontal="center" vertical="center" textRotation="90"/>
    </xf>
    <xf numFmtId="9" fontId="2" fillId="0" borderId="27" xfId="0" applyNumberFormat="1" applyFont="1" applyBorder="1" applyAlignment="1">
      <alignment wrapText="1"/>
    </xf>
    <xf numFmtId="0" fontId="0" fillId="0" borderId="28" xfId="0" applyBorder="1" applyAlignment="1">
      <alignment wrapText="1"/>
    </xf>
    <xf numFmtId="0" fontId="0" fillId="0" borderId="29" xfId="0" applyBorder="1" applyAlignment="1">
      <alignment wrapText="1"/>
    </xf>
    <xf numFmtId="0" fontId="0" fillId="0" borderId="30" xfId="0" applyBorder="1" applyAlignment="1">
      <alignment wrapText="1"/>
    </xf>
    <xf numFmtId="0" fontId="0" fillId="0" borderId="0" xfId="0" applyAlignment="1">
      <alignment wrapText="1"/>
    </xf>
    <xf numFmtId="0" fontId="0" fillId="0" borderId="31" xfId="0" applyBorder="1" applyAlignment="1">
      <alignment wrapText="1"/>
    </xf>
    <xf numFmtId="0" fontId="0" fillId="0" borderId="32" xfId="0" applyBorder="1" applyAlignment="1">
      <alignment wrapText="1"/>
    </xf>
    <xf numFmtId="0" fontId="0" fillId="0" borderId="9" xfId="0" applyBorder="1" applyAlignment="1">
      <alignment wrapText="1"/>
    </xf>
    <xf numFmtId="0" fontId="0" fillId="0" borderId="33" xfId="0" applyBorder="1" applyAlignment="1">
      <alignment wrapText="1"/>
    </xf>
    <xf numFmtId="0" fontId="2" fillId="0" borderId="8" xfId="0" applyFont="1" applyBorder="1"/>
    <xf numFmtId="0" fontId="2" fillId="0" borderId="7" xfId="0" applyFont="1" applyBorder="1"/>
    <xf numFmtId="0" fontId="4" fillId="0" borderId="0" xfId="3" applyAlignment="1">
      <alignment horizontal="left" vertical="top" wrapText="1"/>
    </xf>
    <xf numFmtId="0" fontId="1" fillId="0" borderId="0" xfId="6" applyFont="1" applyBorder="1" applyAlignment="1">
      <alignment horizontal="left"/>
    </xf>
    <xf numFmtId="0" fontId="1" fillId="0" borderId="0" xfId="6" applyFont="1" applyBorder="1" applyAlignment="1"/>
  </cellXfs>
  <cellStyles count="10">
    <cellStyle name="Comma" xfId="1" builtinId="3"/>
    <cellStyle name="Comma 3" xfId="4" xr:uid="{8D605C1C-959A-4FD3-943B-6AF711D0B824}"/>
    <cellStyle name="Followed Hyperlink" xfId="6" builtinId="9"/>
    <cellStyle name="Hyperlink" xfId="7" builtinId="8"/>
    <cellStyle name="Normal" xfId="0" builtinId="0"/>
    <cellStyle name="Normal 2" xfId="3" xr:uid="{669237FF-10F9-4729-90C8-EC64F2D6B29A}"/>
    <cellStyle name="Normal 2 2 2" xfId="9" xr:uid="{409728C5-C338-4614-8FF1-A83925D5DFE6}"/>
    <cellStyle name="Normal 3" xfId="8" xr:uid="{55CE4CC0-68AC-49AE-A38A-66E023595F72}"/>
    <cellStyle name="Percent" xfId="2" builtinId="5"/>
    <cellStyle name="Percent 2" xfId="5" xr:uid="{7F4D8CE7-6ED0-4417-BB07-B30A8E52C02C}"/>
  </cellStyles>
  <dxfs count="153">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b/>
        <i val="0"/>
        <color theme="0"/>
      </font>
      <fill>
        <patternFill>
          <bgColor rgb="FFFF0000"/>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006100"/>
      </font>
      <fill>
        <patternFill patternType="none">
          <bgColor indexed="65"/>
        </patternFill>
      </fill>
    </dxf>
    <dxf>
      <font>
        <color rgb="FF9C0006"/>
      </font>
      <fill>
        <patternFill>
          <bgColor rgb="FFFFC7CE"/>
        </patternFill>
      </fill>
    </dxf>
    <dxf>
      <font>
        <color rgb="FF9C0006"/>
      </font>
      <fill>
        <patternFill>
          <bgColor rgb="FFFFC7CE"/>
        </patternFill>
      </fill>
    </dxf>
    <dxf>
      <font>
        <color rgb="FF006100"/>
      </font>
      <fill>
        <patternFill patternType="none">
          <bgColor indexed="65"/>
        </patternFill>
      </fill>
    </dxf>
    <dxf>
      <font>
        <b/>
        <i val="0"/>
        <color theme="0"/>
      </font>
      <fill>
        <patternFill>
          <fgColor theme="0"/>
          <bgColor rgb="FFFF0000"/>
        </patternFill>
      </fill>
    </dxf>
    <dxf>
      <font>
        <b/>
        <i val="0"/>
        <color theme="0"/>
      </font>
      <fill>
        <patternFill>
          <bgColor rgb="FFFA621C"/>
        </patternFill>
      </fill>
    </dxf>
    <dxf>
      <font>
        <color rgb="FF9C0006"/>
      </font>
      <fill>
        <patternFill>
          <bgColor rgb="FFFFC7CE"/>
        </patternFill>
      </fill>
    </dxf>
    <dxf>
      <font>
        <color rgb="FF006100"/>
      </font>
      <fill>
        <patternFill patternType="none">
          <bgColor indexed="65"/>
        </patternFill>
      </fill>
    </dxf>
  </dxfs>
  <tableStyles count="0" defaultTableStyle="TableStyleMedium2" defaultPivotStyle="PivotStyleLight16"/>
  <colors>
    <mruColors>
      <color rgb="FFEB33CC"/>
      <color rgb="FFCD7DC0"/>
      <color rgb="FFBD8DA8"/>
      <color rgb="FF987D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'FS Outputs'!$B$33</c:f>
              <c:strCache>
                <c:ptCount val="1"/>
                <c:pt idx="0">
                  <c:v>EBITDA</c:v>
                </c:pt>
              </c:strCache>
            </c:strRef>
          </c:tx>
          <c:spPr>
            <a:solidFill>
              <a:srgbClr val="EB33CC"/>
            </a:solidFill>
            <a:ln>
              <a:noFill/>
            </a:ln>
            <a:effectLst/>
          </c:spPr>
          <c:invertIfNegative val="0"/>
          <c:cat>
            <c:numRef>
              <c:extLst>
                <c:ext xmlns:c15="http://schemas.microsoft.com/office/drawing/2012/chart" uri="{02D57815-91ED-43cb-92C2-25804820EDAC}">
                  <c15:fullRef>
                    <c15:sqref>'FS Outputs'!$C$31:$N$31</c15:sqref>
                  </c15:fullRef>
                </c:ext>
              </c:extLst>
              <c:f>'FS Outputs'!$H$31:$N$31</c:f>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Outputs'!$C$33:$N$33</c15:sqref>
                  </c15:fullRef>
                </c:ext>
              </c:extLst>
              <c:f>'FS Outputs'!$H$33:$N$33</c:f>
              <c:numCache>
                <c:formatCode>General</c:formatCode>
                <c:ptCount val="7"/>
                <c:pt idx="1" formatCode="_(#,##0_);\(#,##0\);_(&quot;–&quot;_);_(@_)">
                  <c:v>28351.430172009765</c:v>
                </c:pt>
                <c:pt idx="2" formatCode="_(#,##0_);\(#,##0\);_(&quot;–&quot;_);_(@_)">
                  <c:v>30120.960023129592</c:v>
                </c:pt>
                <c:pt idx="3" formatCode="_(#,##0_);\(#,##0\);_(&quot;–&quot;_);_(@_)">
                  <c:v>34274.677181993466</c:v>
                </c:pt>
                <c:pt idx="4" formatCode="_(#,##0_);\(#,##0\);_(&quot;–&quot;_);_(@_)">
                  <c:v>38751.531985686182</c:v>
                </c:pt>
                <c:pt idx="5" formatCode="_(#,##0_);\(#,##0\);_(&quot;–&quot;_);_(@_)">
                  <c:v>43490.13089441543</c:v>
                </c:pt>
                <c:pt idx="6" formatCode="_(#,##0_);\(#,##0\);_(&quot;–&quot;_);_(@_)">
                  <c:v>51158.696461336833</c:v>
                </c:pt>
              </c:numCache>
            </c:numRef>
          </c:val>
          <c:extLst>
            <c:ext xmlns:c16="http://schemas.microsoft.com/office/drawing/2014/chart" uri="{C3380CC4-5D6E-409C-BE32-E72D297353CC}">
              <c16:uniqueId val="{00000001-D77E-4E30-B046-2DE630E65B6C}"/>
            </c:ext>
          </c:extLst>
        </c:ser>
        <c:ser>
          <c:idx val="6"/>
          <c:order val="6"/>
          <c:tx>
            <c:strRef>
              <c:f>'FS Outputs'!$B$38</c:f>
              <c:strCache>
                <c:ptCount val="1"/>
                <c:pt idx="0">
                  <c:v>Total Debt</c:v>
                </c:pt>
              </c:strCache>
            </c:strRef>
          </c:tx>
          <c:spPr>
            <a:solidFill>
              <a:srgbClr val="7030A0"/>
            </a:solidFill>
            <a:ln>
              <a:noFill/>
            </a:ln>
            <a:effectLst/>
          </c:spPr>
          <c:invertIfNegative val="0"/>
          <c:cat>
            <c:numRef>
              <c:extLst>
                <c:ext xmlns:c15="http://schemas.microsoft.com/office/drawing/2012/chart" uri="{02D57815-91ED-43cb-92C2-25804820EDAC}">
                  <c15:fullRef>
                    <c15:sqref>'FS Outputs'!$C$31:$N$31</c15:sqref>
                  </c15:fullRef>
                </c:ext>
              </c:extLst>
              <c:f>'FS Outputs'!$H$31:$N$31</c:f>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Outputs'!$C$38:$N$38</c15:sqref>
                  </c15:fullRef>
                </c:ext>
              </c:extLst>
              <c:f>'FS Outputs'!$H$38:$N$38</c:f>
              <c:numCache>
                <c:formatCode>General</c:formatCode>
                <c:ptCount val="7"/>
                <c:pt idx="1" formatCode="_(#,##0_);\(#,##0\);_(&quot;–&quot;_);_(@_)">
                  <c:v>479401.83080220886</c:v>
                </c:pt>
                <c:pt idx="2" formatCode="_(#,##0_);\(#,##0\);_(&quot;–&quot;_);_(@_)">
                  <c:v>482523.41606767318</c:v>
                </c:pt>
                <c:pt idx="3" formatCode="_(#,##0_);\(#,##0\);_(&quot;–&quot;_);_(@_)">
                  <c:v>486010.63080786343</c:v>
                </c:pt>
                <c:pt idx="4" formatCode="_(#,##0_);\(#,##0\);_(&quot;–&quot;_);_(@_)">
                  <c:v>486274.57319081295</c:v>
                </c:pt>
                <c:pt idx="5" formatCode="_(#,##0_);\(#,##0\);_(&quot;–&quot;_);_(@_)">
                  <c:v>485006.33391844074</c:v>
                </c:pt>
                <c:pt idx="6" formatCode="_(#,##0_);\(#,##0\);_(&quot;–&quot;_);_(@_)">
                  <c:v>478381.94561186468</c:v>
                </c:pt>
              </c:numCache>
            </c:numRef>
          </c:val>
          <c:extLst>
            <c:ext xmlns:c16="http://schemas.microsoft.com/office/drawing/2014/chart" uri="{C3380CC4-5D6E-409C-BE32-E72D297353CC}">
              <c16:uniqueId val="{00000006-D77E-4E30-B046-2DE630E65B6C}"/>
            </c:ext>
          </c:extLst>
        </c:ser>
        <c:dLbls>
          <c:showLegendKey val="0"/>
          <c:showVal val="0"/>
          <c:showCatName val="0"/>
          <c:showSerName val="0"/>
          <c:showPercent val="0"/>
          <c:showBubbleSize val="0"/>
        </c:dLbls>
        <c:gapWidth val="219"/>
        <c:overlap val="-27"/>
        <c:axId val="881751136"/>
        <c:axId val="881751616"/>
        <c:extLst>
          <c:ext xmlns:c15="http://schemas.microsoft.com/office/drawing/2012/chart" uri="{02D57815-91ED-43cb-92C2-25804820EDAC}">
            <c15:filteredBarSeries>
              <c15:ser>
                <c:idx val="0"/>
                <c:order val="0"/>
                <c:tx>
                  <c:strRef>
                    <c:extLst>
                      <c:ext uri="{02D57815-91ED-43cb-92C2-25804820EDAC}">
                        <c15:formulaRef>
                          <c15:sqref>'FS Outputs'!$B$32</c15:sqref>
                        </c15:formulaRef>
                      </c:ext>
                    </c:extLst>
                    <c:strCache>
                      <c:ptCount val="1"/>
                      <c:pt idx="0">
                        <c:v>Financial Projections</c:v>
                      </c:pt>
                    </c:strCache>
                  </c:strRef>
                </c:tx>
                <c:spPr>
                  <a:solidFill>
                    <a:schemeClr val="accent1"/>
                  </a:solidFill>
                  <a:ln>
                    <a:noFill/>
                  </a:ln>
                  <a:effectLst/>
                </c:spPr>
                <c:invertIfNegative val="0"/>
                <c:cat>
                  <c:numRef>
                    <c:extLst>
                      <c:ext uri="{02D57815-91ED-43cb-92C2-25804820EDAC}">
                        <c15:fullRef>
                          <c15:sqref>'FS Outputs'!$C$31:$N$31</c15:sqref>
                        </c15:fullRef>
                        <c15:formulaRef>
                          <c15:sqref>'FS Outputs'!$H$31:$N$31</c15:sqref>
                        </c15:formulaRef>
                      </c:ext>
                    </c:extLst>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uri="{02D57815-91ED-43cb-92C2-25804820EDAC}">
                        <c15:fullRef>
                          <c15:sqref>'FS Outputs'!$C$32:$N$32</c15:sqref>
                        </c15:fullRef>
                        <c15:formulaRef>
                          <c15:sqref>'FS Outputs'!$H$32:$N$32</c15:sqref>
                        </c15:formulaRef>
                      </c:ext>
                    </c:extLst>
                    <c:numCache>
                      <c:formatCode>General</c:formatCode>
                      <c:ptCount val="7"/>
                    </c:numCache>
                  </c:numRef>
                </c:val>
                <c:extLst>
                  <c:ext xmlns:c16="http://schemas.microsoft.com/office/drawing/2014/chart" uri="{C3380CC4-5D6E-409C-BE32-E72D297353CC}">
                    <c16:uniqueId val="{00000000-D77E-4E30-B046-2DE630E65B6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'FS Outputs'!$B$34</c15:sqref>
                        </c15:formulaRef>
                      </c:ext>
                    </c:extLst>
                    <c:strCache>
                      <c:ptCount val="1"/>
                      <c:pt idx="0">
                        <c:v>Tax Expense</c:v>
                      </c:pt>
                    </c:strCache>
                  </c:strRef>
                </c:tx>
                <c:spPr>
                  <a:solidFill>
                    <a:schemeClr val="accent3"/>
                  </a:solidFill>
                  <a:ln>
                    <a:noFill/>
                  </a:ln>
                  <a:effectLst/>
                </c:spPr>
                <c:invertIfNegative val="0"/>
                <c:cat>
                  <c:numRef>
                    <c:extLst>
                      <c:ext xmlns:c15="http://schemas.microsoft.com/office/drawing/2012/chart" uri="{02D57815-91ED-43cb-92C2-25804820EDAC}">
                        <c15:fullRef>
                          <c15:sqref>'FS Outputs'!$C$31:$N$31</c15:sqref>
                        </c15:fullRef>
                        <c15:formulaRef>
                          <c15:sqref>'FS Outputs'!$H$31:$N$31</c15:sqref>
                        </c15:formulaRef>
                      </c:ext>
                    </c:extLst>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Outputs'!$C$34:$N$34</c15:sqref>
                        </c15:fullRef>
                        <c15:formulaRef>
                          <c15:sqref>'FS Outputs'!$H$34:$N$34</c15:sqref>
                        </c15:formulaRef>
                      </c:ext>
                    </c:extLst>
                    <c:numCache>
                      <c:formatCode>General</c:formatCode>
                      <c:ptCount val="7"/>
                      <c:pt idx="1" formatCode="_(#,##0_);\(#,##0\);_(&quot;–&quot;_);_(@_)">
                        <c:v>4175.3010223429937</c:v>
                      </c:pt>
                      <c:pt idx="2" formatCode="_(#,##0_);\(#,##0\);_(&quot;–&quot;_);_(@_)">
                        <c:v>2011.4576778608405</c:v>
                      </c:pt>
                      <c:pt idx="3" formatCode="_(#,##0_);\(#,##0\);_(&quot;–&quot;_);_(@_)">
                        <c:v>2685.9201789989997</c:v>
                      </c:pt>
                      <c:pt idx="4" formatCode="_(#,##0_);\(#,##0\);_(&quot;–&quot;_);_(@_)">
                        <c:v>3431.266939247284</c:v>
                      </c:pt>
                      <c:pt idx="5" formatCode="_(#,##0_);\(#,##0\);_(&quot;–&quot;_);_(@_)">
                        <c:v>4233.2673891127743</c:v>
                      </c:pt>
                      <c:pt idx="6" formatCode="_(#,##0_);\(#,##0\);_(&quot;–&quot;_);_(@_)">
                        <c:v>5850.454938927769</c:v>
                      </c:pt>
                    </c:numCache>
                  </c:numRef>
                </c:val>
                <c:extLst xmlns:c15="http://schemas.microsoft.com/office/drawing/2012/chart">
                  <c:ext xmlns:c16="http://schemas.microsoft.com/office/drawing/2014/chart" uri="{C3380CC4-5D6E-409C-BE32-E72D297353CC}">
                    <c16:uniqueId val="{00000002-D77E-4E30-B046-2DE630E65B6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'FS Outputs'!$B$35</c15:sqref>
                        </c15:formulaRef>
                      </c:ext>
                    </c:extLst>
                    <c:strCache>
                      <c:ptCount val="1"/>
                      <c:pt idx="0">
                        <c:v>CapEx</c:v>
                      </c:pt>
                    </c:strCache>
                  </c:strRef>
                </c:tx>
                <c:spPr>
                  <a:solidFill>
                    <a:schemeClr val="accent4"/>
                  </a:solidFill>
                  <a:ln>
                    <a:noFill/>
                  </a:ln>
                  <a:effectLst/>
                </c:spPr>
                <c:invertIfNegative val="0"/>
                <c:cat>
                  <c:numRef>
                    <c:extLst>
                      <c:ext xmlns:c15="http://schemas.microsoft.com/office/drawing/2012/chart" uri="{02D57815-91ED-43cb-92C2-25804820EDAC}">
                        <c15:fullRef>
                          <c15:sqref>'FS Outputs'!$C$31:$N$31</c15:sqref>
                        </c15:fullRef>
                        <c15:formulaRef>
                          <c15:sqref>'FS Outputs'!$H$31:$N$31</c15:sqref>
                        </c15:formulaRef>
                      </c:ext>
                    </c:extLst>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Outputs'!$C$35:$N$35</c15:sqref>
                        </c15:fullRef>
                        <c15:formulaRef>
                          <c15:sqref>'FS Outputs'!$H$35:$N$35</c15:sqref>
                        </c15:formulaRef>
                      </c:ext>
                    </c:extLst>
                    <c:numCache>
                      <c:formatCode>General</c:formatCode>
                      <c:ptCount val="7"/>
                      <c:pt idx="1" formatCode="_(#,##0_);\(#,##0\);_(&quot;–&quot;_);_(@_)">
                        <c:v>14296.672661089546</c:v>
                      </c:pt>
                      <c:pt idx="2" formatCode="_(#,##0_);\(#,##0\);_(&quot;–&quot;_);_(@_)">
                        <c:v>14972.548700735206</c:v>
                      </c:pt>
                      <c:pt idx="3" formatCode="_(#,##0_);\(#,##0\);_(&quot;–&quot;_);_(@_)">
                        <c:v>15659.011911678383</c:v>
                      </c:pt>
                      <c:pt idx="4" formatCode="_(#,##0_);\(#,##0\);_(&quot;–&quot;_);_(@_)">
                        <c:v>16326.975044324416</c:v>
                      </c:pt>
                      <c:pt idx="5" formatCode="_(#,##0_);\(#,##0\);_(&quot;–&quot;_);_(@_)">
                        <c:v>16947.293729799683</c:v>
                      </c:pt>
                      <c:pt idx="6" formatCode="_(#,##0_);\(#,##0\);_(&quot;–&quot;_);_(@_)">
                        <c:v>17492.344650348699</c:v>
                      </c:pt>
                    </c:numCache>
                  </c:numRef>
                </c:val>
                <c:extLst xmlns:c15="http://schemas.microsoft.com/office/drawing/2012/chart">
                  <c:ext xmlns:c16="http://schemas.microsoft.com/office/drawing/2014/chart" uri="{C3380CC4-5D6E-409C-BE32-E72D297353CC}">
                    <c16:uniqueId val="{00000003-D77E-4E30-B046-2DE630E65B6C}"/>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'FS Outputs'!$B$36</c15:sqref>
                        </c15:formulaRef>
                      </c:ext>
                    </c:extLst>
                    <c:strCache>
                      <c:ptCount val="1"/>
                      <c:pt idx="0">
                        <c:v>Total Interest Expense</c:v>
                      </c:pt>
                    </c:strCache>
                  </c:strRef>
                </c:tx>
                <c:spPr>
                  <a:solidFill>
                    <a:schemeClr val="accent5"/>
                  </a:solidFill>
                  <a:ln>
                    <a:noFill/>
                  </a:ln>
                  <a:effectLst/>
                </c:spPr>
                <c:invertIfNegative val="0"/>
                <c:cat>
                  <c:numRef>
                    <c:extLst>
                      <c:ext xmlns:c15="http://schemas.microsoft.com/office/drawing/2012/chart" uri="{02D57815-91ED-43cb-92C2-25804820EDAC}">
                        <c15:fullRef>
                          <c15:sqref>'FS Outputs'!$C$31:$N$31</c15:sqref>
                        </c15:fullRef>
                        <c15:formulaRef>
                          <c15:sqref>'FS Outputs'!$H$31:$N$31</c15:sqref>
                        </c15:formulaRef>
                      </c:ext>
                    </c:extLst>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Outputs'!$C$36:$N$36</c15:sqref>
                        </c15:fullRef>
                        <c15:formulaRef>
                          <c15:sqref>'FS Outputs'!$H$36:$N$36</c15:sqref>
                        </c15:formulaRef>
                      </c:ext>
                    </c:extLst>
                    <c:numCache>
                      <c:formatCode>General</c:formatCode>
                      <c:ptCount val="7"/>
                      <c:pt idx="1" formatCode="_(#,##0_);\(#,##0\);_(&quot;–&quot;_);_(@_)">
                        <c:v>8107.1290055121444</c:v>
                      </c:pt>
                      <c:pt idx="2" formatCode="_(#,##0_);\(#,##0\);_(&quot;–&quot;_);_(@_)">
                        <c:v>16615.447832252023</c:v>
                      </c:pt>
                      <c:pt idx="3" formatCode="_(#,##0_);\(#,##0\);_(&quot;–&quot;_);_(@_)">
                        <c:v>17286.484186645383</c:v>
                      </c:pt>
                      <c:pt idx="4" formatCode="_(#,##0_);\(#,##0\);_(&quot;–&quot;_);_(@_)">
                        <c:v>17938.805997302537</c:v>
                      </c:pt>
                      <c:pt idx="5" formatCode="_(#,##0_);\(#,##0\);_(&quot;–&quot;_);_(@_)">
                        <c:v>18573.048984822603</c:v>
                      </c:pt>
                      <c:pt idx="6" formatCode="_(#,##0_);\(#,##0\);_(&quot;–&quot;_);_(@_)">
                        <c:v>19167.393912326603</c:v>
                      </c:pt>
                    </c:numCache>
                  </c:numRef>
                </c:val>
                <c:extLst xmlns:c15="http://schemas.microsoft.com/office/drawing/2012/chart">
                  <c:ext xmlns:c16="http://schemas.microsoft.com/office/drawing/2014/chart" uri="{C3380CC4-5D6E-409C-BE32-E72D297353CC}">
                    <c16:uniqueId val="{00000004-D77E-4E30-B046-2DE630E65B6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'FS Outputs'!$B$37</c15:sqref>
                        </c15:formulaRef>
                      </c:ext>
                    </c:extLst>
                    <c:strCache>
                      <c:ptCount val="1"/>
                      <c:pt idx="0">
                        <c:v>Mandatory Principal Repayments</c:v>
                      </c:pt>
                    </c:strCache>
                  </c:strRef>
                </c:tx>
                <c:spPr>
                  <a:solidFill>
                    <a:schemeClr val="accent6"/>
                  </a:solidFill>
                  <a:ln>
                    <a:noFill/>
                  </a:ln>
                  <a:effectLst/>
                </c:spPr>
                <c:invertIfNegative val="0"/>
                <c:cat>
                  <c:numRef>
                    <c:extLst>
                      <c:ext xmlns:c15="http://schemas.microsoft.com/office/drawing/2012/chart" uri="{02D57815-91ED-43cb-92C2-25804820EDAC}">
                        <c15:fullRef>
                          <c15:sqref>'FS Outputs'!$C$31:$N$31</c15:sqref>
                        </c15:fullRef>
                        <c15:formulaRef>
                          <c15:sqref>'FS Outputs'!$H$31:$N$31</c15:sqref>
                        </c15:formulaRef>
                      </c:ext>
                    </c:extLst>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Outputs'!$C$37:$N$37</c15:sqref>
                        </c15:fullRef>
                        <c15:formulaRef>
                          <c15:sqref>'FS Outputs'!$H$37:$N$37</c15:sqref>
                        </c15:formulaRef>
                      </c:ext>
                    </c:extLst>
                    <c:numCache>
                      <c:formatCode>General</c:formatCode>
                      <c:ptCount val="7"/>
                      <c:pt idx="1" formatCode="_(#,##0_);\(#,##0\);_(&quot;–&quot;_);_(@_)">
                        <c:v>5080.640926424554</c:v>
                      </c:pt>
                      <c:pt idx="2" formatCode="_(#,##0_);\(#,##0\);_(&quot;–&quot;_);_(@_)">
                        <c:v>4992.2516938689487</c:v>
                      </c:pt>
                      <c:pt idx="3" formatCode="_(#,##0_);\(#,##0\);_(&quot;–&quot;_);_(@_)">
                        <c:v>9810.9960202094535</c:v>
                      </c:pt>
                      <c:pt idx="4" formatCode="_(#,##0_);\(#,##0\);_(&quot;–&quot;_);_(@_)">
                        <c:v>9470.3979258491763</c:v>
                      </c:pt>
                      <c:pt idx="5" formatCode="_(#,##0_);\(#,##0\);_(&quot;–&quot;_);_(@_)">
                        <c:v>9142.3869203343493</c:v>
                      </c:pt>
                      <c:pt idx="6" formatCode="_(#,##0_);\(#,##0\);_(&quot;–&quot;_);_(@_)">
                        <c:v>8826.480256809733</c:v>
                      </c:pt>
                    </c:numCache>
                  </c:numRef>
                </c:val>
                <c:extLst xmlns:c15="http://schemas.microsoft.com/office/drawing/2012/chart">
                  <c:ext xmlns:c16="http://schemas.microsoft.com/office/drawing/2014/chart" uri="{C3380CC4-5D6E-409C-BE32-E72D297353CC}">
                    <c16:uniqueId val="{00000005-D77E-4E30-B046-2DE630E65B6C}"/>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'FS Outputs'!$B$39</c15:sqref>
                        </c15:formulaRef>
                      </c:ext>
                    </c:extLst>
                    <c:strCache>
                      <c:ptCount val="1"/>
                      <c:pt idx="0">
                        <c:v>Cash</c:v>
                      </c:pt>
                    </c:strCache>
                  </c:strRef>
                </c:tx>
                <c:spPr>
                  <a:solidFill>
                    <a:schemeClr val="accent2">
                      <a:lumMod val="60000"/>
                    </a:schemeClr>
                  </a:solidFill>
                  <a:ln>
                    <a:noFill/>
                  </a:ln>
                  <a:effectLst/>
                </c:spPr>
                <c:invertIfNegative val="0"/>
                <c:cat>
                  <c:numRef>
                    <c:extLst>
                      <c:ext xmlns:c15="http://schemas.microsoft.com/office/drawing/2012/chart" uri="{02D57815-91ED-43cb-92C2-25804820EDAC}">
                        <c15:fullRef>
                          <c15:sqref>'FS Outputs'!$C$31:$N$31</c15:sqref>
                        </c15:fullRef>
                        <c15:formulaRef>
                          <c15:sqref>'FS Outputs'!$H$31:$N$31</c15:sqref>
                        </c15:formulaRef>
                      </c:ext>
                    </c:extLst>
                    <c:numCache>
                      <c:formatCode>General</c:formatCode>
                      <c:ptCount val="7"/>
                      <c:pt idx="1" formatCode="0&quot;E&quot;">
                        <c:v>2025</c:v>
                      </c:pt>
                      <c:pt idx="2" formatCode="0&quot;E&quot;">
                        <c:v>2026</c:v>
                      </c:pt>
                      <c:pt idx="3" formatCode="0&quot;E&quot;">
                        <c:v>2027</c:v>
                      </c:pt>
                      <c:pt idx="4" formatCode="0&quot;E&quot;">
                        <c:v>2028</c:v>
                      </c:pt>
                      <c:pt idx="5" formatCode="0&quot;E&quot;">
                        <c:v>2029</c:v>
                      </c:pt>
                      <c:pt idx="6" formatCode="0&quot;E&quot;">
                        <c:v>2030</c:v>
                      </c:pt>
                    </c:numCache>
                  </c:numRef>
                </c:cat>
                <c:val>
                  <c:numRef>
                    <c:extLst>
                      <c:ext xmlns:c15="http://schemas.microsoft.com/office/drawing/2012/chart" uri="{02D57815-91ED-43cb-92C2-25804820EDAC}">
                        <c15:fullRef>
                          <c15:sqref>'FS Outputs'!$C$39:$N$39</c15:sqref>
                        </c15:fullRef>
                        <c15:formulaRef>
                          <c15:sqref>'FS Outputs'!$H$39:$N$39</c15:sqref>
                        </c15:formulaRef>
                      </c:ext>
                    </c:extLst>
                    <c:numCache>
                      <c:formatCode>General</c:formatCode>
                      <c:ptCount val="7"/>
                      <c:pt idx="1" formatCode="_(#,##0_);\(#,##0\);_(&quot;–&quot;_);_(@_)">
                        <c:v>-13519.630462657369</c:v>
                      </c:pt>
                      <c:pt idx="2" formatCode="_(#,##0_);\(#,##0\);_(&quot;–&quot;_);_(@_)">
                        <c:v>-10000.000000000002</c:v>
                      </c:pt>
                      <c:pt idx="3" formatCode="_(#,##0_);\(#,##0\);_(&quot;–&quot;_);_(@_)">
                        <c:v>-10000.000000000002</c:v>
                      </c:pt>
                      <c:pt idx="4" formatCode="_(#,##0_);\(#,##0\);_(&quot;–&quot;_);_(@_)">
                        <c:v>-10000.000000000002</c:v>
                      </c:pt>
                      <c:pt idx="5" formatCode="_(#,##0_);\(#,##0\);_(&quot;–&quot;_);_(@_)">
                        <c:v>-10000.000000000002</c:v>
                      </c:pt>
                      <c:pt idx="6" formatCode="_(#,##0_);\(#,##0\);_(&quot;–&quot;_);_(@_)">
                        <c:v>-10000.000000000002</c:v>
                      </c:pt>
                    </c:numCache>
                  </c:numRef>
                </c:val>
                <c:extLst xmlns:c15="http://schemas.microsoft.com/office/drawing/2012/chart">
                  <c:ext xmlns:c16="http://schemas.microsoft.com/office/drawing/2014/chart" uri="{C3380CC4-5D6E-409C-BE32-E72D297353CC}">
                    <c16:uniqueId val="{00000007-D77E-4E30-B046-2DE630E65B6C}"/>
                  </c:ext>
                </c:extLst>
              </c15:ser>
            </c15:filteredBarSeries>
          </c:ext>
        </c:extLst>
      </c:barChart>
      <c:catAx>
        <c:axId val="881751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1751616"/>
        <c:crosses val="autoZero"/>
        <c:auto val="1"/>
        <c:lblAlgn val="ctr"/>
        <c:lblOffset val="100"/>
        <c:noMultiLvlLbl val="0"/>
      </c:catAx>
      <c:valAx>
        <c:axId val="881751616"/>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1751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'Income Statement'!$G$6</c:f>
              <c:strCache>
                <c:ptCount val="1"/>
                <c:pt idx="0">
                  <c:v>R&amp;D Expense</c:v>
                </c:pt>
              </c:strCache>
            </c:strRef>
          </c:tx>
          <c:spPr>
            <a:solidFill>
              <a:srgbClr val="7030A0"/>
            </a:solidFill>
            <a:ln>
              <a:noFill/>
            </a:ln>
            <a:effectLst/>
          </c:spPr>
          <c:invertIfNegative val="0"/>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Statement'!$H$6:$N$6</c:f>
              <c:numCache>
                <c:formatCode>_(#,##0.00_);\(#,##0.00\);_("–"_);_(@_)</c:formatCode>
                <c:ptCount val="7"/>
                <c:pt idx="0">
                  <c:v>0.95366042251874616</c:v>
                </c:pt>
                <c:pt idx="1">
                  <c:v>2.5396878109724175</c:v>
                </c:pt>
                <c:pt idx="2">
                  <c:v>4.3414137629179628</c:v>
                </c:pt>
                <c:pt idx="3">
                  <c:v>6.3729605937253879</c:v>
                </c:pt>
                <c:pt idx="4">
                  <c:v>8.6373025588527472</c:v>
                </c:pt>
                <c:pt idx="5">
                  <c:v>11.124163278948277</c:v>
                </c:pt>
                <c:pt idx="6">
                  <c:v>13.809745776591077</c:v>
                </c:pt>
              </c:numCache>
            </c:numRef>
          </c:val>
          <c:extLst>
            <c:ext xmlns:c16="http://schemas.microsoft.com/office/drawing/2014/chart" uri="{C3380CC4-5D6E-409C-BE32-E72D297353CC}">
              <c16:uniqueId val="{00000000-FB7E-4825-BEE7-79CB615E53BD}"/>
            </c:ext>
          </c:extLst>
        </c:ser>
        <c:dLbls>
          <c:showLegendKey val="0"/>
          <c:showVal val="0"/>
          <c:showCatName val="0"/>
          <c:showSerName val="0"/>
          <c:showPercent val="0"/>
          <c:showBubbleSize val="0"/>
        </c:dLbls>
        <c:gapWidth val="126"/>
        <c:overlap val="-27"/>
        <c:axId val="835586080"/>
        <c:axId val="835586560"/>
      </c:barChart>
      <c:lineChart>
        <c:grouping val="standard"/>
        <c:varyColors val="0"/>
        <c:ser>
          <c:idx val="1"/>
          <c:order val="1"/>
          <c:tx>
            <c:strRef>
              <c:f>'Income Statement'!$G$7</c:f>
              <c:strCache>
                <c:ptCount val="1"/>
                <c:pt idx="0">
                  <c:v>R&amp;D Margin</c:v>
                </c:pt>
              </c:strCache>
            </c:strRef>
          </c:tx>
          <c:spPr>
            <a:ln w="28575" cap="rnd">
              <a:solidFill>
                <a:srgbClr val="EB33CC"/>
              </a:solidFill>
              <a:round/>
            </a:ln>
            <a:effectLst/>
          </c:spPr>
          <c:marker>
            <c:symbol val="circle"/>
            <c:size val="5"/>
            <c:spPr>
              <a:solidFill>
                <a:schemeClr val="bg1"/>
              </a:solidFill>
              <a:ln w="9525">
                <a:solidFill>
                  <a:srgbClr val="EB33CC"/>
                </a:solidFill>
              </a:ln>
              <a:effectLst/>
            </c:spPr>
          </c:marker>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Statement'!$H$7:$N$7</c:f>
              <c:numCache>
                <c:formatCode>_(#,##0.0%_);\(#,##0.0%\);_("–"_)_%;_(@_)_%</c:formatCode>
                <c:ptCount val="7"/>
                <c:pt idx="0">
                  <c:v>3.0065019376637149E-3</c:v>
                </c:pt>
                <c:pt idx="1">
                  <c:v>7.5054182813864287E-3</c:v>
                </c:pt>
                <c:pt idx="2">
                  <c:v>1.2004334625109143E-2</c:v>
                </c:pt>
                <c:pt idx="3">
                  <c:v>1.6503250968831859E-2</c:v>
                </c:pt>
                <c:pt idx="4">
                  <c:v>2.1002167312554575E-2</c:v>
                </c:pt>
                <c:pt idx="5">
                  <c:v>2.550108365627729E-2</c:v>
                </c:pt>
                <c:pt idx="6">
                  <c:v>0.03</c:v>
                </c:pt>
              </c:numCache>
            </c:numRef>
          </c:val>
          <c:smooth val="0"/>
          <c:extLst>
            <c:ext xmlns:c16="http://schemas.microsoft.com/office/drawing/2014/chart" uri="{C3380CC4-5D6E-409C-BE32-E72D297353CC}">
              <c16:uniqueId val="{00000001-FB7E-4825-BEE7-79CB615E53BD}"/>
            </c:ext>
          </c:extLst>
        </c:ser>
        <c:dLbls>
          <c:showLegendKey val="0"/>
          <c:showVal val="0"/>
          <c:showCatName val="0"/>
          <c:showSerName val="0"/>
          <c:showPercent val="0"/>
          <c:showBubbleSize val="0"/>
        </c:dLbls>
        <c:marker val="1"/>
        <c:smooth val="0"/>
        <c:axId val="2117383856"/>
        <c:axId val="2117384816"/>
      </c:lineChart>
      <c:catAx>
        <c:axId val="835586080"/>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5586560"/>
        <c:crosses val="autoZero"/>
        <c:auto val="1"/>
        <c:lblAlgn val="ctr"/>
        <c:lblOffset val="100"/>
        <c:noMultiLvlLbl val="0"/>
      </c:catAx>
      <c:valAx>
        <c:axId val="835586560"/>
        <c:scaling>
          <c:orientation val="minMax"/>
          <c:max val="15000"/>
          <c:min val="0"/>
        </c:scaling>
        <c:delete val="0"/>
        <c:axPos val="l"/>
        <c:numFmt formatCode="_(#,##0.00_);\(#,##0.00\);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835586080"/>
        <c:crosses val="autoZero"/>
        <c:crossBetween val="between"/>
      </c:valAx>
      <c:valAx>
        <c:axId val="2117384816"/>
        <c:scaling>
          <c:orientation val="minMax"/>
        </c:scaling>
        <c:delete val="0"/>
        <c:axPos val="r"/>
        <c:numFmt formatCode="_(#,##0.0%_);\(#,##0.0%\);_(&quot;–&quot;_)_%;_(@_)_%"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117383856"/>
        <c:crosses val="max"/>
        <c:crossBetween val="between"/>
      </c:valAx>
      <c:catAx>
        <c:axId val="2117383856"/>
        <c:scaling>
          <c:orientation val="minMax"/>
        </c:scaling>
        <c:delete val="1"/>
        <c:axPos val="b"/>
        <c:numFmt formatCode="0&quot;E&quot;" sourceLinked="1"/>
        <c:majorTickMark val="out"/>
        <c:minorTickMark val="none"/>
        <c:tickLblPos val="nextTo"/>
        <c:crossAx val="211738481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872395174633216E-2"/>
          <c:y val="4.6296296296296294E-2"/>
          <c:w val="0.47594182141500146"/>
          <c:h val="0.79224482356372117"/>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FFD-4599-B9F1-29B17AD323D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FFD-4599-B9F1-29B17AD323D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FFD-4599-B9F1-29B17AD323DC}"/>
              </c:ext>
            </c:extLst>
          </c:dPt>
          <c:cat>
            <c:strRef>
              <c:f>'Income Statement'!$G$9:$G$11</c:f>
              <c:strCache>
                <c:ptCount val="3"/>
                <c:pt idx="0">
                  <c:v>System Contstruction</c:v>
                </c:pt>
                <c:pt idx="1">
                  <c:v>Products and Services</c:v>
                </c:pt>
                <c:pt idx="2">
                  <c:v>Facility and Other Businesses</c:v>
                </c:pt>
              </c:strCache>
            </c:strRef>
          </c:cat>
          <c:val>
            <c:numRef>
              <c:f>'Income Statement'!$H$9:$H$11</c:f>
              <c:numCache>
                <c:formatCode>_(#,##0_);\(#,##0\);_("–"_);_(@_)</c:formatCode>
                <c:ptCount val="3"/>
                <c:pt idx="0">
                  <c:v>203627.74619999997</c:v>
                </c:pt>
                <c:pt idx="1">
                  <c:v>97217.073600000003</c:v>
                </c:pt>
                <c:pt idx="2">
                  <c:v>16354.517600000001</c:v>
                </c:pt>
              </c:numCache>
            </c:numRef>
          </c:val>
          <c:extLst>
            <c:ext xmlns:c16="http://schemas.microsoft.com/office/drawing/2014/chart" uri="{C3380CC4-5D6E-409C-BE32-E72D297353CC}">
              <c16:uniqueId val="{00000000-ADD4-4C58-AAE7-FBB4EF86156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'Income Statement'!$G$9</c:f>
              <c:strCache>
                <c:ptCount val="1"/>
                <c:pt idx="0">
                  <c:v>System Contstruction</c:v>
                </c:pt>
              </c:strCache>
            </c:strRef>
          </c:tx>
          <c:spPr>
            <a:solidFill>
              <a:schemeClr val="accent1"/>
            </a:solidFill>
            <a:ln>
              <a:noFill/>
            </a:ln>
            <a:effectLst/>
          </c:spPr>
          <c:invertIfNegative val="0"/>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Statement'!$H$9:$N$9</c:f>
              <c:numCache>
                <c:formatCode>_(#,##0_);\(#,##0\);_("–"_);_(@_)</c:formatCode>
                <c:ptCount val="7"/>
                <c:pt idx="0">
                  <c:v>203627.74619999997</c:v>
                </c:pt>
                <c:pt idx="1">
                  <c:v>227052.68478866664</c:v>
                </c:pt>
                <c:pt idx="2">
                  <c:v>251418.77748951924</c:v>
                </c:pt>
                <c:pt idx="3">
                  <c:v>276190.47282885842</c:v>
                </c:pt>
                <c:pt idx="4">
                  <c:v>300729.39233355585</c:v>
                </c:pt>
                <c:pt idx="5">
                  <c:v>324319.08014206862</c:v>
                </c:pt>
                <c:pt idx="6">
                  <c:v>346200.09137220937</c:v>
                </c:pt>
              </c:numCache>
            </c:numRef>
          </c:val>
          <c:extLst>
            <c:ext xmlns:c16="http://schemas.microsoft.com/office/drawing/2014/chart" uri="{C3380CC4-5D6E-409C-BE32-E72D297353CC}">
              <c16:uniqueId val="{00000000-EACB-480F-977C-F8C8B2084D12}"/>
            </c:ext>
          </c:extLst>
        </c:ser>
        <c:ser>
          <c:idx val="1"/>
          <c:order val="1"/>
          <c:tx>
            <c:strRef>
              <c:f>'Income Statement'!$G$10</c:f>
              <c:strCache>
                <c:ptCount val="1"/>
                <c:pt idx="0">
                  <c:v>Products and Services</c:v>
                </c:pt>
              </c:strCache>
            </c:strRef>
          </c:tx>
          <c:spPr>
            <a:solidFill>
              <a:schemeClr val="accent2"/>
            </a:solidFill>
            <a:ln>
              <a:noFill/>
            </a:ln>
            <a:effectLst/>
          </c:spPr>
          <c:invertIfNegative val="0"/>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Statement'!$H$10:$N$10</c:f>
              <c:numCache>
                <c:formatCode>_(#,##0_);\(#,##0\);_("–"_);_(@_)</c:formatCode>
                <c:ptCount val="7"/>
                <c:pt idx="0">
                  <c:v>97217.073600000003</c:v>
                </c:pt>
                <c:pt idx="1">
                  <c:v>95000.143175333316</c:v>
                </c:pt>
                <c:pt idx="2">
                  <c:v>93879.326006864881</c:v>
                </c:pt>
                <c:pt idx="3">
                  <c:v>93535.153534282232</c:v>
                </c:pt>
                <c:pt idx="4">
                  <c:v>93952.324210811523</c:v>
                </c:pt>
                <c:pt idx="5">
                  <c:v>95134.366329510391</c:v>
                </c:pt>
                <c:pt idx="6">
                  <c:v>97103.509293474592</c:v>
                </c:pt>
              </c:numCache>
            </c:numRef>
          </c:val>
          <c:extLst>
            <c:ext xmlns:c16="http://schemas.microsoft.com/office/drawing/2014/chart" uri="{C3380CC4-5D6E-409C-BE32-E72D297353CC}">
              <c16:uniqueId val="{00000001-EACB-480F-977C-F8C8B2084D12}"/>
            </c:ext>
          </c:extLst>
        </c:ser>
        <c:ser>
          <c:idx val="2"/>
          <c:order val="2"/>
          <c:tx>
            <c:strRef>
              <c:f>'Income Statement'!$G$11</c:f>
              <c:strCache>
                <c:ptCount val="1"/>
                <c:pt idx="0">
                  <c:v>Facility and Other Businesses</c:v>
                </c:pt>
              </c:strCache>
            </c:strRef>
          </c:tx>
          <c:spPr>
            <a:solidFill>
              <a:schemeClr val="accent3"/>
            </a:solidFill>
            <a:ln>
              <a:noFill/>
            </a:ln>
            <a:effectLst/>
          </c:spPr>
          <c:invertIfNegative val="0"/>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Statement'!$H$11:$N$11</c:f>
              <c:numCache>
                <c:formatCode>_(#,##0_);\(#,##0\);_("–"_);_(@_)</c:formatCode>
                <c:ptCount val="7"/>
                <c:pt idx="0">
                  <c:v>16354.517600000001</c:v>
                </c:pt>
                <c:pt idx="1">
                  <c:v>16327.754670666665</c:v>
                </c:pt>
                <c:pt idx="2">
                  <c:v>16355.740593995111</c:v>
                </c:pt>
                <c:pt idx="3">
                  <c:v>16438.324349443246</c:v>
                </c:pt>
                <c:pt idx="4">
                  <c:v>16575.961309174047</c:v>
                </c:pt>
                <c:pt idx="5">
                  <c:v>16769.712861102078</c:v>
                </c:pt>
                <c:pt idx="6">
                  <c:v>17021.258554018608</c:v>
                </c:pt>
              </c:numCache>
            </c:numRef>
          </c:val>
          <c:extLst>
            <c:ext xmlns:c16="http://schemas.microsoft.com/office/drawing/2014/chart" uri="{C3380CC4-5D6E-409C-BE32-E72D297353CC}">
              <c16:uniqueId val="{00000002-EACB-480F-977C-F8C8B2084D12}"/>
            </c:ext>
          </c:extLst>
        </c:ser>
        <c:dLbls>
          <c:showLegendKey val="0"/>
          <c:showVal val="0"/>
          <c:showCatName val="0"/>
          <c:showSerName val="0"/>
          <c:showPercent val="0"/>
          <c:showBubbleSize val="0"/>
        </c:dLbls>
        <c:gapWidth val="150"/>
        <c:overlap val="100"/>
        <c:axId val="2046725264"/>
        <c:axId val="2046725744"/>
      </c:barChart>
      <c:catAx>
        <c:axId val="2046725264"/>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6725744"/>
        <c:crosses val="autoZero"/>
        <c:auto val="1"/>
        <c:lblAlgn val="ctr"/>
        <c:lblOffset val="100"/>
        <c:noMultiLvlLbl val="0"/>
      </c:catAx>
      <c:valAx>
        <c:axId val="2046725744"/>
        <c:scaling>
          <c:orientation val="minMax"/>
        </c:scaling>
        <c:delete val="0"/>
        <c:axPos val="l"/>
        <c:numFmt formatCode="_(#,##0_);\(#,##0\);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6725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Debt/EBITDA</c:v>
          </c:tx>
          <c:spPr>
            <a:ln w="28575" cap="rnd">
              <a:solidFill>
                <a:srgbClr val="7030A0"/>
              </a:solidFill>
              <a:round/>
            </a:ln>
            <a:effectLst/>
          </c:spPr>
          <c:marker>
            <c:symbol val="circle"/>
            <c:size val="5"/>
            <c:spPr>
              <a:solidFill>
                <a:schemeClr val="bg1"/>
              </a:solidFill>
              <a:ln w="9525">
                <a:solidFill>
                  <a:srgbClr val="EB33CC"/>
                </a:solidFill>
              </a:ln>
              <a:effectLst/>
            </c:spPr>
          </c:marker>
          <c:cat>
            <c:numRef>
              <c:f>'FS Outputs'!$U$62:$Z$62</c:f>
              <c:numCache>
                <c:formatCode>0"E"</c:formatCode>
                <c:ptCount val="6"/>
                <c:pt idx="0">
                  <c:v>25</c:v>
                </c:pt>
                <c:pt idx="1">
                  <c:v>26</c:v>
                </c:pt>
                <c:pt idx="2">
                  <c:v>27</c:v>
                </c:pt>
                <c:pt idx="3">
                  <c:v>28</c:v>
                </c:pt>
                <c:pt idx="4">
                  <c:v>29</c:v>
                </c:pt>
                <c:pt idx="5">
                  <c:v>30</c:v>
                </c:pt>
              </c:numCache>
            </c:numRef>
          </c:cat>
          <c:val>
            <c:numRef>
              <c:f>'FS Outputs'!$I$41:$N$41</c:f>
              <c:numCache>
                <c:formatCode>_(#,##0.0\x_);\(#,##0.0\x\);_("–"_);_(@_)</c:formatCode>
                <c:ptCount val="6"/>
                <c:pt idx="0">
                  <c:v>16.909264467212068</c:v>
                </c:pt>
                <c:pt idx="1">
                  <c:v>16.019523139274053</c:v>
                </c:pt>
                <c:pt idx="2">
                  <c:v>14.179874787068567</c:v>
                </c:pt>
                <c:pt idx="3">
                  <c:v>12.548525136256039</c:v>
                </c:pt>
                <c:pt idx="4">
                  <c:v>11.152101038645538</c:v>
                </c:pt>
                <c:pt idx="5">
                  <c:v>9.3509408703054362</c:v>
                </c:pt>
              </c:numCache>
            </c:numRef>
          </c:val>
          <c:smooth val="0"/>
          <c:extLst>
            <c:ext xmlns:c16="http://schemas.microsoft.com/office/drawing/2014/chart" uri="{C3380CC4-5D6E-409C-BE32-E72D297353CC}">
              <c16:uniqueId val="{00000000-F11E-438F-B1F7-42B72180AD0F}"/>
            </c:ext>
          </c:extLst>
        </c:ser>
        <c:dLbls>
          <c:showLegendKey val="0"/>
          <c:showVal val="0"/>
          <c:showCatName val="0"/>
          <c:showSerName val="0"/>
          <c:showPercent val="0"/>
          <c:showBubbleSize val="0"/>
        </c:dLbls>
        <c:marker val="1"/>
        <c:smooth val="0"/>
        <c:axId val="859714160"/>
        <c:axId val="859715120"/>
      </c:lineChart>
      <c:lineChart>
        <c:grouping val="standard"/>
        <c:varyColors val="0"/>
        <c:ser>
          <c:idx val="1"/>
          <c:order val="1"/>
          <c:tx>
            <c:v>Debt Service Coverage Ratio</c:v>
          </c:tx>
          <c:spPr>
            <a:ln w="28575" cap="rnd">
              <a:solidFill>
                <a:srgbClr val="EB33CC"/>
              </a:solidFill>
              <a:round/>
            </a:ln>
            <a:effectLst/>
          </c:spPr>
          <c:marker>
            <c:symbol val="circle"/>
            <c:size val="5"/>
            <c:spPr>
              <a:solidFill>
                <a:schemeClr val="bg1"/>
              </a:solidFill>
              <a:ln w="9525">
                <a:solidFill>
                  <a:srgbClr val="7030A0"/>
                </a:solidFill>
              </a:ln>
              <a:effectLst/>
            </c:spPr>
          </c:marker>
          <c:cat>
            <c:numRef>
              <c:f>'FS Outputs'!$I$31:$N$31</c:f>
              <c:numCache>
                <c:formatCode>0"E"</c:formatCode>
                <c:ptCount val="6"/>
                <c:pt idx="0">
                  <c:v>2025</c:v>
                </c:pt>
                <c:pt idx="1">
                  <c:v>2026</c:v>
                </c:pt>
                <c:pt idx="2">
                  <c:v>2027</c:v>
                </c:pt>
                <c:pt idx="3">
                  <c:v>2028</c:v>
                </c:pt>
                <c:pt idx="4">
                  <c:v>2029</c:v>
                </c:pt>
                <c:pt idx="5">
                  <c:v>2030</c:v>
                </c:pt>
              </c:numCache>
            </c:numRef>
          </c:cat>
          <c:val>
            <c:numRef>
              <c:f>'FS Outputs'!$I$42:$N$42</c:f>
              <c:numCache>
                <c:formatCode>_(#,##0.0\x_);\(#,##0.0\x\);_("–"_);_(@_)</c:formatCode>
                <c:ptCount val="6"/>
                <c:pt idx="0">
                  <c:v>0.74913776472944349</c:v>
                </c:pt>
                <c:pt idx="1">
                  <c:v>0.60797557966097382</c:v>
                </c:pt>
                <c:pt idx="2">
                  <c:v>0.58786813274565441</c:v>
                </c:pt>
                <c:pt idx="3">
                  <c:v>0.69295299693368462</c:v>
                </c:pt>
                <c:pt idx="4">
                  <c:v>0.80495106957173546</c:v>
                </c:pt>
                <c:pt idx="5">
                  <c:v>0.99364227702101371</c:v>
                </c:pt>
              </c:numCache>
            </c:numRef>
          </c:val>
          <c:smooth val="0"/>
          <c:extLst>
            <c:ext xmlns:c16="http://schemas.microsoft.com/office/drawing/2014/chart" uri="{C3380CC4-5D6E-409C-BE32-E72D297353CC}">
              <c16:uniqueId val="{00000001-F11E-438F-B1F7-42B72180AD0F}"/>
            </c:ext>
          </c:extLst>
        </c:ser>
        <c:dLbls>
          <c:showLegendKey val="0"/>
          <c:showVal val="0"/>
          <c:showCatName val="0"/>
          <c:showSerName val="0"/>
          <c:showPercent val="0"/>
          <c:showBubbleSize val="0"/>
        </c:dLbls>
        <c:marker val="1"/>
        <c:smooth val="0"/>
        <c:axId val="307744656"/>
        <c:axId val="307739856"/>
      </c:lineChart>
      <c:catAx>
        <c:axId val="859714160"/>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9715120"/>
        <c:crosses val="autoZero"/>
        <c:auto val="1"/>
        <c:lblAlgn val="ctr"/>
        <c:lblOffset val="100"/>
        <c:noMultiLvlLbl val="0"/>
      </c:catAx>
      <c:valAx>
        <c:axId val="859715120"/>
        <c:scaling>
          <c:orientation val="minMax"/>
        </c:scaling>
        <c:delete val="0"/>
        <c:axPos val="l"/>
        <c:numFmt formatCode="_(#,##0.0\x_);\(#,##0.0\x\);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7030A0"/>
                </a:solidFill>
                <a:latin typeface="+mn-lt"/>
                <a:ea typeface="+mn-ea"/>
                <a:cs typeface="+mn-cs"/>
              </a:defRPr>
            </a:pPr>
            <a:endParaRPr lang="en-US"/>
          </a:p>
        </c:txPr>
        <c:crossAx val="859714160"/>
        <c:crosses val="autoZero"/>
        <c:crossBetween val="between"/>
      </c:valAx>
      <c:valAx>
        <c:axId val="307739856"/>
        <c:scaling>
          <c:orientation val="minMax"/>
        </c:scaling>
        <c:delete val="0"/>
        <c:axPos val="r"/>
        <c:numFmt formatCode="_(#,##0.0\x_);\(#,##0.0\x\);_(&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EB33CC"/>
                </a:solidFill>
                <a:latin typeface="+mn-lt"/>
                <a:ea typeface="+mn-ea"/>
                <a:cs typeface="+mn-cs"/>
              </a:defRPr>
            </a:pPr>
            <a:endParaRPr lang="en-US"/>
          </a:p>
        </c:txPr>
        <c:crossAx val="307744656"/>
        <c:crosses val="max"/>
        <c:crossBetween val="between"/>
      </c:valAx>
      <c:catAx>
        <c:axId val="307744656"/>
        <c:scaling>
          <c:orientation val="minMax"/>
        </c:scaling>
        <c:delete val="1"/>
        <c:axPos val="b"/>
        <c:numFmt formatCode="0&quot;E&quot;" sourceLinked="1"/>
        <c:majorTickMark val="out"/>
        <c:minorTickMark val="none"/>
        <c:tickLblPos val="nextTo"/>
        <c:crossAx val="307739856"/>
        <c:crosses val="autoZero"/>
        <c:auto val="1"/>
        <c:lblAlgn val="ctr"/>
        <c:lblOffset val="100"/>
        <c:noMultiLvlLbl val="0"/>
      </c:catAx>
      <c:spPr>
        <a:noFill/>
        <a:ln>
          <a:noFill/>
        </a:ln>
        <a:effectLst/>
      </c:spPr>
    </c:plotArea>
    <c:legend>
      <c:legendPos val="b"/>
      <c:layout>
        <c:manualLayout>
          <c:xMode val="edge"/>
          <c:yMode val="edge"/>
          <c:x val="0.19740188046894039"/>
          <c:y val="0.69407869087657836"/>
          <c:w val="0.60519623906211917"/>
          <c:h val="7.9575319078783707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'FS Outputs'!$S$77</c:f>
              <c:strCache>
                <c:ptCount val="1"/>
                <c:pt idx="0">
                  <c:v>IRR</c:v>
                </c:pt>
              </c:strCache>
            </c:strRef>
          </c:tx>
          <c:spPr>
            <a:solidFill>
              <a:srgbClr val="7030A0"/>
            </a:solidFill>
            <a:ln>
              <a:noFill/>
            </a:ln>
            <a:effectLst/>
          </c:spPr>
          <c:invertIfNegative val="0"/>
          <c:cat>
            <c:numRef>
              <c:f>'FS Outputs'!$Q$78:$Q$82</c:f>
              <c:numCache>
                <c:formatCode>"Year "0</c:formatCode>
                <c:ptCount val="5"/>
                <c:pt idx="0">
                  <c:v>1</c:v>
                </c:pt>
                <c:pt idx="1">
                  <c:v>2</c:v>
                </c:pt>
                <c:pt idx="2">
                  <c:v>3</c:v>
                </c:pt>
                <c:pt idx="3">
                  <c:v>4</c:v>
                </c:pt>
                <c:pt idx="4">
                  <c:v>5</c:v>
                </c:pt>
              </c:numCache>
            </c:numRef>
          </c:cat>
          <c:val>
            <c:numRef>
              <c:f>'FS Outputs'!$S$78:$S$82</c:f>
              <c:numCache>
                <c:formatCode>_(#,##0.0%_);\(#,##0.0%\);_("–"_)_%;_(@_)_%</c:formatCode>
                <c:ptCount val="5"/>
                <c:pt idx="0">
                  <c:v>0.1129609167575836</c:v>
                </c:pt>
                <c:pt idx="1">
                  <c:v>0.22964866757392885</c:v>
                </c:pt>
                <c:pt idx="2">
                  <c:v>0.2585782468318939</c:v>
                </c:pt>
                <c:pt idx="3">
                  <c:v>0.26096338629722593</c:v>
                </c:pt>
                <c:pt idx="4">
                  <c:v>0.27708095908164976</c:v>
                </c:pt>
              </c:numCache>
            </c:numRef>
          </c:val>
          <c:extLst>
            <c:ext xmlns:c16="http://schemas.microsoft.com/office/drawing/2014/chart" uri="{C3380CC4-5D6E-409C-BE32-E72D297353CC}">
              <c16:uniqueId val="{00000000-06C0-4FEA-BD64-0CFC80543FA4}"/>
            </c:ext>
          </c:extLst>
        </c:ser>
        <c:dLbls>
          <c:showLegendKey val="0"/>
          <c:showVal val="0"/>
          <c:showCatName val="0"/>
          <c:showSerName val="0"/>
          <c:showPercent val="0"/>
          <c:showBubbleSize val="0"/>
        </c:dLbls>
        <c:gapWidth val="219"/>
        <c:overlap val="-27"/>
        <c:axId val="1104783856"/>
        <c:axId val="1104784336"/>
      </c:barChart>
      <c:lineChart>
        <c:grouping val="standard"/>
        <c:varyColors val="0"/>
        <c:ser>
          <c:idx val="1"/>
          <c:order val="1"/>
          <c:tx>
            <c:strRef>
              <c:f>'FS Outputs'!$T$77</c:f>
              <c:strCache>
                <c:ptCount val="1"/>
                <c:pt idx="0">
                  <c:v>MOIC</c:v>
                </c:pt>
              </c:strCache>
            </c:strRef>
          </c:tx>
          <c:spPr>
            <a:ln w="28575" cap="rnd">
              <a:solidFill>
                <a:srgbClr val="EB33CC"/>
              </a:solidFill>
              <a:round/>
            </a:ln>
            <a:effectLst/>
          </c:spPr>
          <c:marker>
            <c:symbol val="circle"/>
            <c:size val="5"/>
            <c:spPr>
              <a:solidFill>
                <a:schemeClr val="bg1"/>
              </a:solidFill>
              <a:ln w="9525">
                <a:solidFill>
                  <a:srgbClr val="EB33CC"/>
                </a:solidFill>
              </a:ln>
              <a:effectLst/>
            </c:spPr>
          </c:marker>
          <c:val>
            <c:numRef>
              <c:f>'FS Outputs'!$T$78:$T$82</c:f>
              <c:numCache>
                <c:formatCode>_(#,##0.0\x_);\(#,##0.0\x\);_("–"_);_(@_)</c:formatCode>
                <c:ptCount val="5"/>
                <c:pt idx="0">
                  <c:v>1.1746564963889432</c:v>
                </c:pt>
                <c:pt idx="1">
                  <c:v>1.6781144210761525</c:v>
                </c:pt>
                <c:pt idx="2">
                  <c:v>2.240087033585267</c:v>
                </c:pt>
                <c:pt idx="3">
                  <c:v>2.8434846225352013</c:v>
                </c:pt>
                <c:pt idx="4">
                  <c:v>3.8452880901450546</c:v>
                </c:pt>
              </c:numCache>
            </c:numRef>
          </c:val>
          <c:smooth val="0"/>
          <c:extLst>
            <c:ext xmlns:c16="http://schemas.microsoft.com/office/drawing/2014/chart" uri="{C3380CC4-5D6E-409C-BE32-E72D297353CC}">
              <c16:uniqueId val="{00000001-06C0-4FEA-BD64-0CFC80543FA4}"/>
            </c:ext>
          </c:extLst>
        </c:ser>
        <c:dLbls>
          <c:showLegendKey val="0"/>
          <c:showVal val="0"/>
          <c:showCatName val="0"/>
          <c:showSerName val="0"/>
          <c:showPercent val="0"/>
          <c:showBubbleSize val="0"/>
        </c:dLbls>
        <c:marker val="1"/>
        <c:smooth val="0"/>
        <c:axId val="705092832"/>
        <c:axId val="705092352"/>
      </c:lineChart>
      <c:catAx>
        <c:axId val="1104783856"/>
        <c:scaling>
          <c:orientation val="minMax"/>
        </c:scaling>
        <c:delete val="0"/>
        <c:axPos val="b"/>
        <c:numFmt formatCode="&quot;Year &quot;0"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104784336"/>
        <c:crosses val="autoZero"/>
        <c:auto val="1"/>
        <c:lblAlgn val="ctr"/>
        <c:lblOffset val="100"/>
        <c:noMultiLvlLbl val="0"/>
      </c:catAx>
      <c:valAx>
        <c:axId val="1104784336"/>
        <c:scaling>
          <c:orientation val="minMax"/>
        </c:scaling>
        <c:delete val="0"/>
        <c:axPos val="l"/>
        <c:numFmt formatCode="_(#,##0.0%_);\(#,##0.0%\);_(&quot;–&quot;_)_%;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104783856"/>
        <c:crosses val="autoZero"/>
        <c:crossBetween val="between"/>
      </c:valAx>
      <c:valAx>
        <c:axId val="705092352"/>
        <c:scaling>
          <c:orientation val="minMax"/>
        </c:scaling>
        <c:delete val="0"/>
        <c:axPos val="r"/>
        <c:numFmt formatCode="_(#,##0.0\x_);\(#,##0.0\x\);_(&quot;–&quot;_);_(@_)"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705092832"/>
        <c:crosses val="max"/>
        <c:crossBetween val="between"/>
      </c:valAx>
      <c:catAx>
        <c:axId val="705092832"/>
        <c:scaling>
          <c:orientation val="minMax"/>
        </c:scaling>
        <c:delete val="1"/>
        <c:axPos val="b"/>
        <c:majorTickMark val="out"/>
        <c:minorTickMark val="none"/>
        <c:tickLblPos val="nextTo"/>
        <c:crossAx val="70509235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17133275007292"/>
          <c:y val="5.0925925925925923E-2"/>
          <c:w val="0.84299996354622342"/>
          <c:h val="0.84204505686789155"/>
        </c:manualLayout>
      </c:layout>
      <c:lineChart>
        <c:grouping val="standard"/>
        <c:varyColors val="0"/>
        <c:ser>
          <c:idx val="0"/>
          <c:order val="0"/>
          <c:spPr>
            <a:ln w="28575" cap="rnd">
              <a:solidFill>
                <a:srgbClr val="7030A0"/>
              </a:solidFill>
              <a:round/>
            </a:ln>
            <a:effectLst/>
          </c:spPr>
          <c:marker>
            <c:symbol val="circle"/>
            <c:size val="5"/>
            <c:spPr>
              <a:solidFill>
                <a:schemeClr val="bg1"/>
              </a:solidFill>
              <a:ln w="9525">
                <a:solidFill>
                  <a:srgbClr val="7030A0"/>
                </a:solidFill>
              </a:ln>
              <a:effectLst/>
            </c:spPr>
          </c:marker>
          <c:cat>
            <c:numRef>
              <c:f>'FS Model'!$K$156:$P$156</c:f>
              <c:numCache>
                <c:formatCode>0"E"</c:formatCode>
                <c:ptCount val="6"/>
                <c:pt idx="0">
                  <c:v>2025</c:v>
                </c:pt>
                <c:pt idx="1">
                  <c:v>2026</c:v>
                </c:pt>
                <c:pt idx="2">
                  <c:v>2027</c:v>
                </c:pt>
                <c:pt idx="3">
                  <c:v>2028</c:v>
                </c:pt>
                <c:pt idx="4">
                  <c:v>2029</c:v>
                </c:pt>
                <c:pt idx="5">
                  <c:v>2030</c:v>
                </c:pt>
              </c:numCache>
            </c:numRef>
          </c:cat>
          <c:val>
            <c:numRef>
              <c:f>'FS Model'!$K$171:$P$171</c:f>
              <c:numCache>
                <c:formatCode>_(#,##0_);\(#,##0\);_("–"_);_(@_)</c:formatCode>
                <c:ptCount val="6"/>
                <c:pt idx="0">
                  <c:v>57239.267191707506</c:v>
                </c:pt>
                <c:pt idx="1">
                  <c:v>59748.43032249817</c:v>
                </c:pt>
                <c:pt idx="2">
                  <c:v>67148.649280773316</c:v>
                </c:pt>
                <c:pt idx="3">
                  <c:v>70676.329155422383</c:v>
                </c:pt>
                <c:pt idx="4">
                  <c:v>72018.99370926409</c:v>
                </c:pt>
                <c:pt idx="5">
                  <c:v>67347.780463991847</c:v>
                </c:pt>
              </c:numCache>
            </c:numRef>
          </c:val>
          <c:smooth val="0"/>
          <c:extLst>
            <c:ext xmlns:c16="http://schemas.microsoft.com/office/drawing/2014/chart" uri="{C3380CC4-5D6E-409C-BE32-E72D297353CC}">
              <c16:uniqueId val="{00000000-120C-4FD0-9672-A8A7CC62F9C7}"/>
            </c:ext>
          </c:extLst>
        </c:ser>
        <c:dLbls>
          <c:showLegendKey val="0"/>
          <c:showVal val="0"/>
          <c:showCatName val="0"/>
          <c:showSerName val="0"/>
          <c:showPercent val="0"/>
          <c:showBubbleSize val="0"/>
        </c:dLbls>
        <c:marker val="1"/>
        <c:smooth val="0"/>
        <c:axId val="1216444095"/>
        <c:axId val="1216441695"/>
      </c:lineChart>
      <c:catAx>
        <c:axId val="1216444095"/>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216441695"/>
        <c:crosses val="autoZero"/>
        <c:auto val="1"/>
        <c:lblAlgn val="ctr"/>
        <c:lblOffset val="100"/>
        <c:noMultiLvlLbl val="0"/>
      </c:catAx>
      <c:valAx>
        <c:axId val="1216441695"/>
        <c:scaling>
          <c:orientation val="minMax"/>
          <c:min val="50000"/>
        </c:scaling>
        <c:delete val="0"/>
        <c:axPos val="l"/>
        <c:numFmt formatCode="_(#,##0_);\(#,##0\);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21644409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Gross Profit Margin</c:v>
          </c:tx>
          <c:spPr>
            <a:ln w="28575" cap="rnd">
              <a:solidFill>
                <a:schemeClr val="accent1"/>
              </a:solidFill>
              <a:round/>
            </a:ln>
            <a:effectLst/>
          </c:spPr>
          <c:marker>
            <c:symbol val="circle"/>
            <c:size val="5"/>
            <c:spPr>
              <a:solidFill>
                <a:schemeClr val="bg1"/>
              </a:solidFill>
              <a:ln w="9525">
                <a:solidFill>
                  <a:srgbClr val="7030A0"/>
                </a:solidFill>
              </a:ln>
              <a:effectLst/>
            </c:spPr>
          </c:marker>
          <c:dLbls>
            <c:dLbl>
              <c:idx val="0"/>
              <c:layout>
                <c:manualLayout>
                  <c:x val="-5.7870370370370371E-2"/>
                  <c:y val="-6.50195058517555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22-4CAF-A3D8-15AB496ED617}"/>
                </c:ext>
              </c:extLst>
            </c:dLbl>
            <c:dLbl>
              <c:idx val="6"/>
              <c:layout>
                <c:manualLayout>
                  <c:x val="-6.3657407407407621E-2"/>
                  <c:y val="-5.2015604681404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322-4CAF-A3D8-15AB496ED61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030A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'FS Outputs'!$T$62:$Z$62</c:f>
              <c:numCache>
                <c:formatCode>0"E"</c:formatCode>
                <c:ptCount val="7"/>
                <c:pt idx="0">
                  <c:v>24</c:v>
                </c:pt>
                <c:pt idx="1">
                  <c:v>25</c:v>
                </c:pt>
                <c:pt idx="2">
                  <c:v>26</c:v>
                </c:pt>
                <c:pt idx="3">
                  <c:v>27</c:v>
                </c:pt>
                <c:pt idx="4">
                  <c:v>28</c:v>
                </c:pt>
                <c:pt idx="5">
                  <c:v>29</c:v>
                </c:pt>
                <c:pt idx="6">
                  <c:v>30</c:v>
                </c:pt>
              </c:numCache>
            </c:numRef>
          </c:cat>
          <c:val>
            <c:numRef>
              <c:f>'FS Outputs'!$T$63:$Z$63</c:f>
              <c:numCache>
                <c:formatCode>_(#,##0.0%_);\(#,##0.0%\);_("–"_)_%;_(@_)_%</c:formatCode>
                <c:ptCount val="7"/>
                <c:pt idx="0">
                  <c:v>0.23310766430958418</c:v>
                </c:pt>
                <c:pt idx="1">
                  <c:v>0.23799999999999999</c:v>
                </c:pt>
                <c:pt idx="2">
                  <c:v>0.24199999999999999</c:v>
                </c:pt>
                <c:pt idx="3">
                  <c:v>0.246</c:v>
                </c:pt>
                <c:pt idx="4">
                  <c:v>0.25</c:v>
                </c:pt>
                <c:pt idx="5">
                  <c:v>0.254</c:v>
                </c:pt>
                <c:pt idx="6">
                  <c:v>0.25800000000000001</c:v>
                </c:pt>
              </c:numCache>
            </c:numRef>
          </c:val>
          <c:smooth val="0"/>
          <c:extLst>
            <c:ext xmlns:c16="http://schemas.microsoft.com/office/drawing/2014/chart" uri="{C3380CC4-5D6E-409C-BE32-E72D297353CC}">
              <c16:uniqueId val="{00000001-5322-4CAF-A3D8-15AB496ED617}"/>
            </c:ext>
          </c:extLst>
        </c:ser>
        <c:ser>
          <c:idx val="1"/>
          <c:order val="1"/>
          <c:tx>
            <c:v>SG&amp;A Margin</c:v>
          </c:tx>
          <c:spPr>
            <a:ln w="28575" cap="rnd">
              <a:solidFill>
                <a:srgbClr val="EB33CC"/>
              </a:solidFill>
              <a:round/>
            </a:ln>
            <a:effectLst/>
          </c:spPr>
          <c:marker>
            <c:symbol val="circle"/>
            <c:size val="5"/>
            <c:spPr>
              <a:solidFill>
                <a:schemeClr val="bg1"/>
              </a:solidFill>
              <a:ln w="9525">
                <a:solidFill>
                  <a:srgbClr val="EB33CC"/>
                </a:solidFill>
              </a:ln>
              <a:effectLst/>
            </c:spPr>
          </c:marker>
          <c:dLbls>
            <c:dLbl>
              <c:idx val="0"/>
              <c:layout>
                <c:manualLayout>
                  <c:x val="-5.7870370370370371E-2"/>
                  <c:y val="5.635023840485479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EB33CC"/>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322-4CAF-A3D8-15AB496ED617}"/>
                </c:ext>
              </c:extLst>
            </c:dLbl>
            <c:dLbl>
              <c:idx val="6"/>
              <c:layout>
                <c:manualLayout>
                  <c:x val="-3.4722222222222113E-2"/>
                  <c:y val="0.1170351105331597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EB33CC"/>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322-4CAF-A3D8-15AB496ED61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'FS Outputs'!$T$62:$Z$62</c:f>
              <c:numCache>
                <c:formatCode>0"E"</c:formatCode>
                <c:ptCount val="7"/>
                <c:pt idx="0">
                  <c:v>24</c:v>
                </c:pt>
                <c:pt idx="1">
                  <c:v>25</c:v>
                </c:pt>
                <c:pt idx="2">
                  <c:v>26</c:v>
                </c:pt>
                <c:pt idx="3">
                  <c:v>27</c:v>
                </c:pt>
                <c:pt idx="4">
                  <c:v>28</c:v>
                </c:pt>
                <c:pt idx="5">
                  <c:v>29</c:v>
                </c:pt>
                <c:pt idx="6">
                  <c:v>30</c:v>
                </c:pt>
              </c:numCache>
            </c:numRef>
          </c:cat>
          <c:val>
            <c:numRef>
              <c:f>'FS Drivers and Inputs'!$I$48:$O$48</c:f>
              <c:numCache>
                <c:formatCode>_(#,##0.0%_);\(#,##0.0%\);_("–"_)_%;_(@_)_%</c:formatCode>
                <c:ptCount val="7"/>
                <c:pt idx="0">
                  <c:v>0.14581402828539478</c:v>
                </c:pt>
                <c:pt idx="1">
                  <c:v>0.13984502357116232</c:v>
                </c:pt>
                <c:pt idx="2">
                  <c:v>0.13984502357116232</c:v>
                </c:pt>
                <c:pt idx="3">
                  <c:v>0.13387601885692987</c:v>
                </c:pt>
                <c:pt idx="4">
                  <c:v>0.12790701414269742</c:v>
                </c:pt>
                <c:pt idx="5">
                  <c:v>0.12193800942846496</c:v>
                </c:pt>
                <c:pt idx="6">
                  <c:v>0.11</c:v>
                </c:pt>
              </c:numCache>
            </c:numRef>
          </c:val>
          <c:smooth val="0"/>
          <c:extLst>
            <c:ext xmlns:c16="http://schemas.microsoft.com/office/drawing/2014/chart" uri="{C3380CC4-5D6E-409C-BE32-E72D297353CC}">
              <c16:uniqueId val="{00000002-5322-4CAF-A3D8-15AB496ED617}"/>
            </c:ext>
          </c:extLst>
        </c:ser>
        <c:ser>
          <c:idx val="2"/>
          <c:order val="2"/>
          <c:tx>
            <c:v>EBITDA Margin</c:v>
          </c:tx>
          <c:spPr>
            <a:ln w="28575" cap="rnd">
              <a:solidFill>
                <a:srgbClr val="987DA1"/>
              </a:solidFill>
              <a:round/>
            </a:ln>
            <a:effectLst/>
          </c:spPr>
          <c:marker>
            <c:symbol val="circle"/>
            <c:size val="5"/>
            <c:spPr>
              <a:solidFill>
                <a:schemeClr val="bg1"/>
              </a:solidFill>
              <a:ln w="9525">
                <a:solidFill>
                  <a:srgbClr val="987DA1"/>
                </a:solidFill>
              </a:ln>
              <a:effectLst/>
            </c:spPr>
          </c:marker>
          <c:dLbls>
            <c:dLbl>
              <c:idx val="0"/>
              <c:layout>
                <c:manualLayout>
                  <c:x val="-4.3402777777777776E-2"/>
                  <c:y val="-6.935413957520597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987DA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322-4CAF-A3D8-15AB496ED617}"/>
                </c:ext>
              </c:extLst>
            </c:dLbl>
            <c:dLbl>
              <c:idx val="6"/>
              <c:layout>
                <c:manualLayout>
                  <c:x val="-2.8935185185185185E-2"/>
                  <c:y val="-8.66926744690073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987DA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322-4CAF-A3D8-15AB496ED61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'FS Outputs'!$T$62:$Z$62</c:f>
              <c:numCache>
                <c:formatCode>0"E"</c:formatCode>
                <c:ptCount val="7"/>
                <c:pt idx="0">
                  <c:v>24</c:v>
                </c:pt>
                <c:pt idx="1">
                  <c:v>25</c:v>
                </c:pt>
                <c:pt idx="2">
                  <c:v>26</c:v>
                </c:pt>
                <c:pt idx="3">
                  <c:v>27</c:v>
                </c:pt>
                <c:pt idx="4">
                  <c:v>28</c:v>
                </c:pt>
                <c:pt idx="5">
                  <c:v>29</c:v>
                </c:pt>
                <c:pt idx="6">
                  <c:v>30</c:v>
                </c:pt>
              </c:numCache>
            </c:numRef>
          </c:cat>
          <c:val>
            <c:numRef>
              <c:f>'FS Model'!$J$45:$P$45</c:f>
              <c:numCache>
                <c:formatCode>_(#,##0.0%_);\(#,##0.0%\);_("–"_)_%;_(@_)_%</c:formatCode>
                <c:ptCount val="7"/>
                <c:pt idx="0">
                  <c:v>7.7423205573205825E-2</c:v>
                </c:pt>
                <c:pt idx="1">
                  <c:v>8.3785629634131387E-2</c:v>
                </c:pt>
                <c:pt idx="2">
                  <c:v>8.3286713290408737E-2</c:v>
                </c:pt>
                <c:pt idx="3">
                  <c:v>8.8756801660918372E-2</c:v>
                </c:pt>
                <c:pt idx="4">
                  <c:v>9.4226890031428229E-2</c:v>
                </c:pt>
                <c:pt idx="5">
                  <c:v>9.9696978401937919E-2</c:v>
                </c:pt>
                <c:pt idx="6">
                  <c:v>0.11113607148668013</c:v>
                </c:pt>
              </c:numCache>
            </c:numRef>
          </c:val>
          <c:smooth val="0"/>
          <c:extLst>
            <c:ext xmlns:c16="http://schemas.microsoft.com/office/drawing/2014/chart" uri="{C3380CC4-5D6E-409C-BE32-E72D297353CC}">
              <c16:uniqueId val="{00000007-5322-4CAF-A3D8-15AB496ED617}"/>
            </c:ext>
          </c:extLst>
        </c:ser>
        <c:dLbls>
          <c:showLegendKey val="0"/>
          <c:showVal val="0"/>
          <c:showCatName val="0"/>
          <c:showSerName val="0"/>
          <c:showPercent val="0"/>
          <c:showBubbleSize val="0"/>
        </c:dLbls>
        <c:marker val="1"/>
        <c:smooth val="0"/>
        <c:axId val="692415184"/>
        <c:axId val="692412304"/>
      </c:lineChart>
      <c:catAx>
        <c:axId val="692415184"/>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692412304"/>
        <c:crosses val="autoZero"/>
        <c:auto val="1"/>
        <c:lblAlgn val="ctr"/>
        <c:lblOffset val="100"/>
        <c:noMultiLvlLbl val="0"/>
      </c:catAx>
      <c:valAx>
        <c:axId val="692412304"/>
        <c:scaling>
          <c:orientation val="minMax"/>
          <c:max val="0.30000000000000004"/>
          <c:min val="5.000000000000001E-2"/>
        </c:scaling>
        <c:delete val="0"/>
        <c:axPos val="l"/>
        <c:numFmt formatCode="_(#,##0.0%_);\(#,##0.0%\);_(&quot;–&quot;_)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2415184"/>
        <c:crosses val="autoZero"/>
        <c:crossBetween val="between"/>
      </c:valAx>
      <c:spPr>
        <a:noFill/>
        <a:ln>
          <a:noFill/>
        </a:ln>
        <a:effectLst/>
      </c:spPr>
    </c:plotArea>
    <c:legend>
      <c:legendPos val="b"/>
      <c:layout>
        <c:manualLayout>
          <c:xMode val="edge"/>
          <c:yMode val="edge"/>
          <c:x val="0.69953339165937589"/>
          <c:y val="0.2530282706859302"/>
          <c:w val="0.20880335921551474"/>
          <c:h val="0.334934417333074"/>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7030A0"/>
            </a:solidFill>
            <a:ln>
              <a:noFill/>
            </a:ln>
            <a:effectLst/>
          </c:spPr>
          <c:invertIfNegative val="0"/>
          <c:dPt>
            <c:idx val="0"/>
            <c:invertIfNegative val="0"/>
            <c:bubble3D val="0"/>
            <c:spPr>
              <a:solidFill>
                <a:srgbClr val="987DA1"/>
              </a:solidFill>
              <a:ln>
                <a:noFill/>
              </a:ln>
              <a:effectLst/>
            </c:spPr>
            <c:extLst>
              <c:ext xmlns:c16="http://schemas.microsoft.com/office/drawing/2014/chart" uri="{C3380CC4-5D6E-409C-BE32-E72D297353CC}">
                <c16:uniqueId val="{00000001-EF15-42DD-8A0E-0D6E077B20D0}"/>
              </c:ext>
            </c:extLst>
          </c:dPt>
          <c:cat>
            <c:numRef>
              <c:extLst>
                <c:ext xmlns:c15="http://schemas.microsoft.com/office/drawing/2012/chart" uri="{02D57815-91ED-43cb-92C2-25804820EDAC}">
                  <c15:fullRef>
                    <c15:sqref>'FS Outputs'!$T$62:$Z$62</c15:sqref>
                  </c15:fullRef>
                </c:ext>
              </c:extLst>
              <c:f>'FS Outputs'!$T$62:$Z$62</c:f>
              <c:numCache>
                <c:formatCode>0"E"</c:formatCode>
                <c:ptCount val="7"/>
                <c:pt idx="0">
                  <c:v>24</c:v>
                </c:pt>
                <c:pt idx="1">
                  <c:v>25</c:v>
                </c:pt>
                <c:pt idx="2">
                  <c:v>26</c:v>
                </c:pt>
                <c:pt idx="3">
                  <c:v>27</c:v>
                </c:pt>
                <c:pt idx="4">
                  <c:v>28</c:v>
                </c:pt>
                <c:pt idx="5">
                  <c:v>29</c:v>
                </c:pt>
                <c:pt idx="6">
                  <c:v>30</c:v>
                </c:pt>
              </c:numCache>
            </c:numRef>
          </c:cat>
          <c:val>
            <c:numRef>
              <c:extLst>
                <c:ext xmlns:c15="http://schemas.microsoft.com/office/drawing/2012/chart" uri="{02D57815-91ED-43cb-92C2-25804820EDAC}">
                  <c15:fullRef>
                    <c15:sqref>'FS Model'!$I$37:$P$37</c15:sqref>
                  </c15:fullRef>
                </c:ext>
              </c:extLst>
              <c:f>'FS Model'!$I$37:$O$37</c:f>
              <c:numCache>
                <c:formatCode>_(#,##0_);\(#,##0\);_("–"_);_(@_)</c:formatCode>
                <c:ptCount val="7"/>
                <c:pt idx="0">
                  <c:v>298855</c:v>
                </c:pt>
                <c:pt idx="1">
                  <c:v>317199.3373999999</c:v>
                </c:pt>
                <c:pt idx="2">
                  <c:v>338380.58263466659</c:v>
                </c:pt>
                <c:pt idx="3">
                  <c:v>361653.84409037919</c:v>
                </c:pt>
                <c:pt idx="4">
                  <c:v>386163.9507125839</c:v>
                </c:pt>
                <c:pt idx="5">
                  <c:v>411257.67785354139</c:v>
                </c:pt>
                <c:pt idx="6">
                  <c:v>436223.1593326811</c:v>
                </c:pt>
              </c:numCache>
            </c:numRef>
          </c:val>
          <c:extLst>
            <c:ext xmlns:c16="http://schemas.microsoft.com/office/drawing/2014/chart" uri="{C3380CC4-5D6E-409C-BE32-E72D297353CC}">
              <c16:uniqueId val="{00000002-EF15-42DD-8A0E-0D6E077B20D0}"/>
            </c:ext>
          </c:extLst>
        </c:ser>
        <c:dLbls>
          <c:showLegendKey val="0"/>
          <c:showVal val="0"/>
          <c:showCatName val="0"/>
          <c:showSerName val="0"/>
          <c:showPercent val="0"/>
          <c:showBubbleSize val="0"/>
        </c:dLbls>
        <c:gapWidth val="219"/>
        <c:overlap val="-27"/>
        <c:axId val="814295264"/>
        <c:axId val="814291424"/>
      </c:barChart>
      <c:catAx>
        <c:axId val="814295264"/>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814291424"/>
        <c:crosses val="autoZero"/>
        <c:auto val="1"/>
        <c:lblAlgn val="ctr"/>
        <c:lblOffset val="100"/>
        <c:noMultiLvlLbl val="0"/>
      </c:catAx>
      <c:valAx>
        <c:axId val="814291424"/>
        <c:scaling>
          <c:orientation val="minMax"/>
          <c:min val="100000"/>
        </c:scaling>
        <c:delete val="0"/>
        <c:axPos val="l"/>
        <c:numFmt formatCode="_(#,##0_);\(#,##0\);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8142952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1"/>
          <c:tx>
            <c:strRef>
              <c:f>'FS Model'!$B$276</c:f>
              <c:strCache>
                <c:ptCount val="1"/>
                <c:pt idx="0">
                  <c:v>Term Loan A</c:v>
                </c:pt>
              </c:strCache>
            </c:strRef>
          </c:tx>
          <c:spPr>
            <a:solidFill>
              <a:srgbClr val="7030A0"/>
            </a:solidFill>
            <a:ln>
              <a:noFill/>
            </a:ln>
            <a:effectLst/>
          </c:spPr>
          <c:invertIfNegative val="0"/>
          <c:cat>
            <c:numRef>
              <c:f>'FS Model'!$K$261:$P$261</c:f>
              <c:numCache>
                <c:formatCode>0"E"</c:formatCode>
                <c:ptCount val="6"/>
                <c:pt idx="0">
                  <c:v>2025</c:v>
                </c:pt>
                <c:pt idx="1">
                  <c:v>2026</c:v>
                </c:pt>
                <c:pt idx="2">
                  <c:v>2027</c:v>
                </c:pt>
                <c:pt idx="3">
                  <c:v>2028</c:v>
                </c:pt>
                <c:pt idx="4">
                  <c:v>2029</c:v>
                </c:pt>
                <c:pt idx="5">
                  <c:v>2030</c:v>
                </c:pt>
              </c:numCache>
            </c:numRef>
          </c:cat>
          <c:val>
            <c:numRef>
              <c:f>'FS Model'!$K$276:$P$276</c:f>
              <c:numCache>
                <c:formatCode>_(#,##0_);\(#,##0\);_("–"_);_(@_)</c:formatCode>
                <c:ptCount val="6"/>
                <c:pt idx="0">
                  <c:v>184155.83412766259</c:v>
                </c:pt>
                <c:pt idx="1">
                  <c:v>180472.71744510933</c:v>
                </c:pt>
                <c:pt idx="2">
                  <c:v>173253.80874730495</c:v>
                </c:pt>
                <c:pt idx="3">
                  <c:v>166323.65639741276</c:v>
                </c:pt>
                <c:pt idx="4">
                  <c:v>159670.71014151626</c:v>
                </c:pt>
                <c:pt idx="5">
                  <c:v>153283.8817358556</c:v>
                </c:pt>
              </c:numCache>
            </c:numRef>
          </c:val>
          <c:extLst>
            <c:ext xmlns:c16="http://schemas.microsoft.com/office/drawing/2014/chart" uri="{C3380CC4-5D6E-409C-BE32-E72D297353CC}">
              <c16:uniqueId val="{00000001-0BE5-4B6D-A4A6-9004F138A64C}"/>
            </c:ext>
          </c:extLst>
        </c:ser>
        <c:ser>
          <c:idx val="2"/>
          <c:order val="2"/>
          <c:tx>
            <c:strRef>
              <c:f>'FS Model'!$B$277</c:f>
              <c:strCache>
                <c:ptCount val="1"/>
                <c:pt idx="0">
                  <c:v>Term Loan B</c:v>
                </c:pt>
              </c:strCache>
            </c:strRef>
          </c:tx>
          <c:spPr>
            <a:solidFill>
              <a:srgbClr val="BD8DA8"/>
            </a:solidFill>
            <a:ln>
              <a:noFill/>
            </a:ln>
            <a:effectLst/>
          </c:spPr>
          <c:invertIfNegative val="0"/>
          <c:cat>
            <c:numRef>
              <c:f>'FS Model'!$K$261:$P$261</c:f>
              <c:numCache>
                <c:formatCode>0"E"</c:formatCode>
                <c:ptCount val="6"/>
                <c:pt idx="0">
                  <c:v>2025</c:v>
                </c:pt>
                <c:pt idx="1">
                  <c:v>2026</c:v>
                </c:pt>
                <c:pt idx="2">
                  <c:v>2027</c:v>
                </c:pt>
                <c:pt idx="3">
                  <c:v>2028</c:v>
                </c:pt>
                <c:pt idx="4">
                  <c:v>2029</c:v>
                </c:pt>
                <c:pt idx="5">
                  <c:v>2030</c:v>
                </c:pt>
              </c:numCache>
            </c:numRef>
          </c:cat>
          <c:val>
            <c:numRef>
              <c:f>'FS Model'!$K$277:$P$277</c:f>
              <c:numCache>
                <c:formatCode>_(#,##0_);\(#,##0\);_("–"_);_(@_)</c:formatCode>
                <c:ptCount val="6"/>
                <c:pt idx="0">
                  <c:v>130913.50113156968</c:v>
                </c:pt>
                <c:pt idx="1">
                  <c:v>129604.36612025398</c:v>
                </c:pt>
                <c:pt idx="2">
                  <c:v>127012.27879784891</c:v>
                </c:pt>
                <c:pt idx="3">
                  <c:v>124472.03322189194</c:v>
                </c:pt>
                <c:pt idx="4">
                  <c:v>121982.5925574541</c:v>
                </c:pt>
                <c:pt idx="5">
                  <c:v>119542.94070630502</c:v>
                </c:pt>
              </c:numCache>
            </c:numRef>
          </c:val>
          <c:extLst>
            <c:ext xmlns:c16="http://schemas.microsoft.com/office/drawing/2014/chart" uri="{C3380CC4-5D6E-409C-BE32-E72D297353CC}">
              <c16:uniqueId val="{00000002-0BE5-4B6D-A4A6-9004F138A64C}"/>
            </c:ext>
          </c:extLst>
        </c:ser>
        <c:ser>
          <c:idx val="3"/>
          <c:order val="3"/>
          <c:tx>
            <c:strRef>
              <c:f>'FS Model'!$B$278</c:f>
              <c:strCache>
                <c:ptCount val="1"/>
                <c:pt idx="0">
                  <c:v>Subordinated PIK Debt</c:v>
                </c:pt>
              </c:strCache>
            </c:strRef>
          </c:tx>
          <c:spPr>
            <a:solidFill>
              <a:srgbClr val="EB33CC"/>
            </a:solidFill>
            <a:ln>
              <a:noFill/>
            </a:ln>
            <a:effectLst/>
          </c:spPr>
          <c:invertIfNegative val="0"/>
          <c:cat>
            <c:numRef>
              <c:f>'FS Model'!$K$261:$P$261</c:f>
              <c:numCache>
                <c:formatCode>0"E"</c:formatCode>
                <c:ptCount val="6"/>
                <c:pt idx="0">
                  <c:v>2025</c:v>
                </c:pt>
                <c:pt idx="1">
                  <c:v>2026</c:v>
                </c:pt>
                <c:pt idx="2">
                  <c:v>2027</c:v>
                </c:pt>
                <c:pt idx="3">
                  <c:v>2028</c:v>
                </c:pt>
                <c:pt idx="4">
                  <c:v>2029</c:v>
                </c:pt>
                <c:pt idx="5">
                  <c:v>2030</c:v>
                </c:pt>
              </c:numCache>
            </c:numRef>
          </c:cat>
          <c:val>
            <c:numRef>
              <c:f>'FS Model'!$K$278:$P$278</c:f>
              <c:numCache>
                <c:formatCode>_(#,##0_);\(#,##0\);_("–"_);_(@_)</c:formatCode>
                <c:ptCount val="6"/>
                <c:pt idx="0">
                  <c:v>107093.22835126911</c:v>
                </c:pt>
                <c:pt idx="1">
                  <c:v>112697.90217981167</c:v>
                </c:pt>
                <c:pt idx="2">
                  <c:v>118595.89398193624</c:v>
                </c:pt>
                <c:pt idx="3">
                  <c:v>124802.5544160858</c:v>
                </c:pt>
                <c:pt idx="4">
                  <c:v>131334.03751020625</c:v>
                </c:pt>
                <c:pt idx="5">
                  <c:v>138207.34270571219</c:v>
                </c:pt>
              </c:numCache>
            </c:numRef>
          </c:val>
          <c:extLst>
            <c:ext xmlns:c16="http://schemas.microsoft.com/office/drawing/2014/chart" uri="{C3380CC4-5D6E-409C-BE32-E72D297353CC}">
              <c16:uniqueId val="{00000003-0BE5-4B6D-A4A6-9004F138A64C}"/>
            </c:ext>
          </c:extLst>
        </c:ser>
        <c:dLbls>
          <c:showLegendKey val="0"/>
          <c:showVal val="0"/>
          <c:showCatName val="0"/>
          <c:showSerName val="0"/>
          <c:showPercent val="0"/>
          <c:showBubbleSize val="0"/>
        </c:dLbls>
        <c:gapWidth val="150"/>
        <c:overlap val="100"/>
        <c:axId val="524326256"/>
        <c:axId val="524327216"/>
        <c:extLst>
          <c:ext xmlns:c15="http://schemas.microsoft.com/office/drawing/2012/chart" uri="{02D57815-91ED-43cb-92C2-25804820EDAC}">
            <c15:filteredBarSeries>
              <c15:ser>
                <c:idx val="0"/>
                <c:order val="0"/>
                <c:tx>
                  <c:strRef>
                    <c:extLst>
                      <c:ext uri="{02D57815-91ED-43cb-92C2-25804820EDAC}">
                        <c15:formulaRef>
                          <c15:sqref>'FS Model'!$B$275</c15:sqref>
                        </c15:formulaRef>
                      </c:ext>
                    </c:extLst>
                    <c:strCache>
                      <c:ptCount val="1"/>
                      <c:pt idx="0">
                        <c:v>Revolving Credit Line</c:v>
                      </c:pt>
                    </c:strCache>
                  </c:strRef>
                </c:tx>
                <c:spPr>
                  <a:solidFill>
                    <a:srgbClr val="987DA1"/>
                  </a:solidFill>
                  <a:ln>
                    <a:noFill/>
                  </a:ln>
                  <a:effectLst/>
                </c:spPr>
                <c:invertIfNegative val="0"/>
                <c:cat>
                  <c:numRef>
                    <c:extLst>
                      <c:ext uri="{02D57815-91ED-43cb-92C2-25804820EDAC}">
                        <c15:formulaRef>
                          <c15:sqref>'FS Model'!$K$261:$P$261</c15:sqref>
                        </c15:formulaRef>
                      </c:ext>
                    </c:extLst>
                    <c:numCache>
                      <c:formatCode>0"E"</c:formatCode>
                      <c:ptCount val="6"/>
                      <c:pt idx="0">
                        <c:v>2025</c:v>
                      </c:pt>
                      <c:pt idx="1">
                        <c:v>2026</c:v>
                      </c:pt>
                      <c:pt idx="2">
                        <c:v>2027</c:v>
                      </c:pt>
                      <c:pt idx="3">
                        <c:v>2028</c:v>
                      </c:pt>
                      <c:pt idx="4">
                        <c:v>2029</c:v>
                      </c:pt>
                      <c:pt idx="5">
                        <c:v>2030</c:v>
                      </c:pt>
                    </c:numCache>
                  </c:numRef>
                </c:cat>
                <c:val>
                  <c:numRef>
                    <c:extLst>
                      <c:ext uri="{02D57815-91ED-43cb-92C2-25804820EDAC}">
                        <c15:formulaRef>
                          <c15:sqref>'FS Model'!$K$275:$P$275</c15:sqref>
                        </c15:formulaRef>
                      </c:ext>
                    </c:extLst>
                    <c:numCache>
                      <c:formatCode>_(#,##0_);\(#,##0\);_("–"_);_(@_)</c:formatCode>
                      <c:ptCount val="6"/>
                      <c:pt idx="0">
                        <c:v>57239.267191707506</c:v>
                      </c:pt>
                      <c:pt idx="1">
                        <c:v>59748.43032249817</c:v>
                      </c:pt>
                      <c:pt idx="2">
                        <c:v>67148.649280773316</c:v>
                      </c:pt>
                      <c:pt idx="3">
                        <c:v>70676.329155422383</c:v>
                      </c:pt>
                      <c:pt idx="4">
                        <c:v>72018.99370926409</c:v>
                      </c:pt>
                      <c:pt idx="5">
                        <c:v>67347.780463991847</c:v>
                      </c:pt>
                    </c:numCache>
                  </c:numRef>
                </c:val>
                <c:extLst>
                  <c:ext xmlns:c16="http://schemas.microsoft.com/office/drawing/2014/chart" uri="{C3380CC4-5D6E-409C-BE32-E72D297353CC}">
                    <c16:uniqueId val="{00000000-0BE5-4B6D-A4A6-9004F138A64C}"/>
                  </c:ext>
                </c:extLst>
              </c15:ser>
            </c15:filteredBarSeries>
          </c:ext>
        </c:extLst>
      </c:barChart>
      <c:catAx>
        <c:axId val="524326256"/>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4327216"/>
        <c:crosses val="autoZero"/>
        <c:auto val="1"/>
        <c:lblAlgn val="ctr"/>
        <c:lblOffset val="100"/>
        <c:noMultiLvlLbl val="0"/>
      </c:catAx>
      <c:valAx>
        <c:axId val="524327216"/>
        <c:scaling>
          <c:orientation val="minMax"/>
          <c:max val="450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24326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TIBOR</c:v>
          </c:tx>
          <c:spPr>
            <a:solidFill>
              <a:srgbClr val="7030A0"/>
            </a:solidFill>
            <a:ln>
              <a:noFill/>
            </a:ln>
            <a:effectLst/>
          </c:spPr>
          <c:invertIfNegative val="0"/>
          <c:cat>
            <c:numRef>
              <c:extLst>
                <c:ext xmlns:c15="http://schemas.microsoft.com/office/drawing/2012/chart" uri="{02D57815-91ED-43cb-92C2-25804820EDAC}">
                  <c15:fullRef>
                    <c15:sqref>'FS Drivers and Inputs'!$J$80:$O$80</c15:sqref>
                  </c15:fullRef>
                </c:ext>
              </c:extLst>
              <c:f>'FS Drivers and Inputs'!$K$80:$O$80</c:f>
              <c:numCache>
                <c:formatCode>0"E"</c:formatCode>
                <c:ptCount val="5"/>
                <c:pt idx="0">
                  <c:v>26</c:v>
                </c:pt>
                <c:pt idx="1">
                  <c:v>27</c:v>
                </c:pt>
                <c:pt idx="2">
                  <c:v>28</c:v>
                </c:pt>
                <c:pt idx="3">
                  <c:v>29</c:v>
                </c:pt>
                <c:pt idx="4">
                  <c:v>30</c:v>
                </c:pt>
              </c:numCache>
            </c:numRef>
          </c:cat>
          <c:val>
            <c:numRef>
              <c:extLst>
                <c:ext xmlns:c15="http://schemas.microsoft.com/office/drawing/2012/chart" uri="{02D57815-91ED-43cb-92C2-25804820EDAC}">
                  <c15:fullRef>
                    <c15:sqref>'FS Outputs'!$T$64:$Z$64</c15:sqref>
                  </c15:fullRef>
                </c:ext>
              </c:extLst>
              <c:f>'FS Outputs'!$U$64:$Z$64</c:f>
              <c:numCache>
                <c:formatCode>_(#,##0.0%_);\(#,##0.0%\);_("–"_)_%;_(@_)_%</c:formatCode>
                <c:ptCount val="6"/>
                <c:pt idx="0">
                  <c:v>8.3985833333333326E-3</c:v>
                </c:pt>
                <c:pt idx="1">
                  <c:v>9.1188666666666661E-3</c:v>
                </c:pt>
                <c:pt idx="2">
                  <c:v>9.8391499999999996E-3</c:v>
                </c:pt>
                <c:pt idx="3">
                  <c:v>1.0559433333333333E-2</c:v>
                </c:pt>
                <c:pt idx="4">
                  <c:v>1.1279716666666665E-2</c:v>
                </c:pt>
                <c:pt idx="5">
                  <c:v>1.2E-2</c:v>
                </c:pt>
              </c:numCache>
            </c:numRef>
          </c:val>
          <c:extLst>
            <c:ext xmlns:c16="http://schemas.microsoft.com/office/drawing/2014/chart" uri="{C3380CC4-5D6E-409C-BE32-E72D297353CC}">
              <c16:uniqueId val="{00000000-0622-4496-8261-10009EA87A85}"/>
            </c:ext>
          </c:extLst>
        </c:ser>
        <c:dLbls>
          <c:showLegendKey val="0"/>
          <c:showVal val="0"/>
          <c:showCatName val="0"/>
          <c:showSerName val="0"/>
          <c:showPercent val="0"/>
          <c:showBubbleSize val="0"/>
        </c:dLbls>
        <c:gapWidth val="219"/>
        <c:axId val="1868405056"/>
        <c:axId val="1868406016"/>
      </c:barChart>
      <c:lineChart>
        <c:grouping val="standard"/>
        <c:varyColors val="0"/>
        <c:ser>
          <c:idx val="1"/>
          <c:order val="1"/>
          <c:tx>
            <c:v>Revolver</c:v>
          </c:tx>
          <c:spPr>
            <a:ln w="28575" cap="rnd">
              <a:solidFill>
                <a:srgbClr val="EB33CC"/>
              </a:solidFill>
              <a:round/>
            </a:ln>
            <a:effectLst/>
          </c:spPr>
          <c:marker>
            <c:symbol val="circle"/>
            <c:size val="5"/>
            <c:spPr>
              <a:solidFill>
                <a:schemeClr val="bg1"/>
              </a:solidFill>
              <a:ln w="9525">
                <a:solidFill>
                  <a:srgbClr val="EB33CC"/>
                </a:solidFill>
              </a:ln>
              <a:effectLst/>
            </c:spPr>
          </c:marker>
          <c:cat>
            <c:numRef>
              <c:extLst>
                <c:ext xmlns:c15="http://schemas.microsoft.com/office/drawing/2012/chart" uri="{02D57815-91ED-43cb-92C2-25804820EDAC}">
                  <c15:fullRef>
                    <c15:sqref>'FS Drivers and Inputs'!$J$80:$O$80</c15:sqref>
                  </c15:fullRef>
                </c:ext>
              </c:extLst>
              <c:f>'FS Drivers and Inputs'!$K$80:$O$80</c:f>
              <c:numCache>
                <c:formatCode>0"E"</c:formatCode>
                <c:ptCount val="5"/>
                <c:pt idx="0">
                  <c:v>26</c:v>
                </c:pt>
                <c:pt idx="1">
                  <c:v>27</c:v>
                </c:pt>
                <c:pt idx="2">
                  <c:v>28</c:v>
                </c:pt>
                <c:pt idx="3">
                  <c:v>29</c:v>
                </c:pt>
                <c:pt idx="4">
                  <c:v>30</c:v>
                </c:pt>
              </c:numCache>
            </c:numRef>
          </c:cat>
          <c:val>
            <c:numRef>
              <c:extLst>
                <c:ext xmlns:c15="http://schemas.microsoft.com/office/drawing/2012/chart" uri="{02D57815-91ED-43cb-92C2-25804820EDAC}">
                  <c15:fullRef>
                    <c15:sqref>'FS Drivers and Inputs'!$J$84:$O$84</c15:sqref>
                  </c15:fullRef>
                </c:ext>
              </c:extLst>
              <c:f>'FS Drivers and Inputs'!$K$84:$O$84</c:f>
              <c:numCache>
                <c:formatCode>_(#,##0.0%_);\(#,##0.0%\);_("–"_)_%;_(@_)_%</c:formatCode>
                <c:ptCount val="5"/>
                <c:pt idx="0">
                  <c:v>1.4118866666666667E-2</c:v>
                </c:pt>
                <c:pt idx="1">
                  <c:v>1.4839150000000001E-2</c:v>
                </c:pt>
                <c:pt idx="2">
                  <c:v>1.5559433333333334E-2</c:v>
                </c:pt>
                <c:pt idx="3">
                  <c:v>1.6279716666666666E-2</c:v>
                </c:pt>
                <c:pt idx="4">
                  <c:v>1.7000000000000001E-2</c:v>
                </c:pt>
              </c:numCache>
            </c:numRef>
          </c:val>
          <c:smooth val="0"/>
          <c:extLst>
            <c:ext xmlns:c16="http://schemas.microsoft.com/office/drawing/2014/chart" uri="{C3380CC4-5D6E-409C-BE32-E72D297353CC}">
              <c16:uniqueId val="{00000001-0622-4496-8261-10009EA87A85}"/>
            </c:ext>
          </c:extLst>
        </c:ser>
        <c:ser>
          <c:idx val="2"/>
          <c:order val="2"/>
          <c:tx>
            <c:v>Loan A</c:v>
          </c:tx>
          <c:spPr>
            <a:ln w="28575" cap="rnd">
              <a:solidFill>
                <a:srgbClr val="002060"/>
              </a:solidFill>
              <a:round/>
            </a:ln>
            <a:effectLst/>
          </c:spPr>
          <c:marker>
            <c:symbol val="circle"/>
            <c:size val="5"/>
            <c:spPr>
              <a:solidFill>
                <a:schemeClr val="bg1"/>
              </a:solidFill>
              <a:ln w="9525">
                <a:solidFill>
                  <a:srgbClr val="002060"/>
                </a:solidFill>
              </a:ln>
              <a:effectLst/>
            </c:spPr>
          </c:marker>
          <c:cat>
            <c:numRef>
              <c:extLst>
                <c:ext xmlns:c15="http://schemas.microsoft.com/office/drawing/2012/chart" uri="{02D57815-91ED-43cb-92C2-25804820EDAC}">
                  <c15:fullRef>
                    <c15:sqref>'FS Drivers and Inputs'!$J$80:$O$80</c15:sqref>
                  </c15:fullRef>
                </c:ext>
              </c:extLst>
              <c:f>'FS Drivers and Inputs'!$K$80:$O$80</c:f>
              <c:numCache>
                <c:formatCode>0"E"</c:formatCode>
                <c:ptCount val="5"/>
                <c:pt idx="0">
                  <c:v>26</c:v>
                </c:pt>
                <c:pt idx="1">
                  <c:v>27</c:v>
                </c:pt>
                <c:pt idx="2">
                  <c:v>28</c:v>
                </c:pt>
                <c:pt idx="3">
                  <c:v>29</c:v>
                </c:pt>
                <c:pt idx="4">
                  <c:v>30</c:v>
                </c:pt>
              </c:numCache>
            </c:numRef>
          </c:cat>
          <c:val>
            <c:numRef>
              <c:extLst>
                <c:ext xmlns:c15="http://schemas.microsoft.com/office/drawing/2012/chart" uri="{02D57815-91ED-43cb-92C2-25804820EDAC}">
                  <c15:fullRef>
                    <c15:sqref>'FS Drivers and Inputs'!$J$87:$O$87</c15:sqref>
                  </c15:fullRef>
                </c:ext>
              </c:extLst>
              <c:f>'FS Drivers and Inputs'!$K$87:$O$87</c:f>
              <c:numCache>
                <c:formatCode>_(#,##0.0%_);\(#,##0.0%\);_("–"_)_%;_(@_)_%</c:formatCode>
                <c:ptCount val="5"/>
                <c:pt idx="0">
                  <c:v>1.9118866666666668E-2</c:v>
                </c:pt>
                <c:pt idx="1">
                  <c:v>1.983915E-2</c:v>
                </c:pt>
                <c:pt idx="2">
                  <c:v>2.0559433333333335E-2</c:v>
                </c:pt>
                <c:pt idx="3">
                  <c:v>2.1279716666666667E-2</c:v>
                </c:pt>
                <c:pt idx="4">
                  <c:v>2.1999999999999999E-2</c:v>
                </c:pt>
              </c:numCache>
            </c:numRef>
          </c:val>
          <c:smooth val="0"/>
          <c:extLst>
            <c:ext xmlns:c16="http://schemas.microsoft.com/office/drawing/2014/chart" uri="{C3380CC4-5D6E-409C-BE32-E72D297353CC}">
              <c16:uniqueId val="{00000002-0622-4496-8261-10009EA87A85}"/>
            </c:ext>
          </c:extLst>
        </c:ser>
        <c:ser>
          <c:idx val="3"/>
          <c:order val="3"/>
          <c:tx>
            <c:v>Loan B</c:v>
          </c:tx>
          <c:spPr>
            <a:ln w="28575" cap="rnd">
              <a:solidFill>
                <a:srgbClr val="CD7DC0"/>
              </a:solidFill>
              <a:round/>
            </a:ln>
            <a:effectLst/>
          </c:spPr>
          <c:marker>
            <c:symbol val="circle"/>
            <c:size val="5"/>
            <c:spPr>
              <a:solidFill>
                <a:schemeClr val="bg1"/>
              </a:solidFill>
              <a:ln w="9525">
                <a:solidFill>
                  <a:srgbClr val="BD8DA8"/>
                </a:solidFill>
              </a:ln>
              <a:effectLst/>
            </c:spPr>
          </c:marker>
          <c:cat>
            <c:numRef>
              <c:extLst>
                <c:ext xmlns:c15="http://schemas.microsoft.com/office/drawing/2012/chart" uri="{02D57815-91ED-43cb-92C2-25804820EDAC}">
                  <c15:fullRef>
                    <c15:sqref>'FS Drivers and Inputs'!$J$80:$O$80</c15:sqref>
                  </c15:fullRef>
                </c:ext>
              </c:extLst>
              <c:f>'FS Drivers and Inputs'!$K$80:$O$80</c:f>
              <c:numCache>
                <c:formatCode>0"E"</c:formatCode>
                <c:ptCount val="5"/>
                <c:pt idx="0">
                  <c:v>26</c:v>
                </c:pt>
                <c:pt idx="1">
                  <c:v>27</c:v>
                </c:pt>
                <c:pt idx="2">
                  <c:v>28</c:v>
                </c:pt>
                <c:pt idx="3">
                  <c:v>29</c:v>
                </c:pt>
                <c:pt idx="4">
                  <c:v>30</c:v>
                </c:pt>
              </c:numCache>
            </c:numRef>
          </c:cat>
          <c:val>
            <c:numRef>
              <c:extLst>
                <c:ext xmlns:c15="http://schemas.microsoft.com/office/drawing/2012/chart" uri="{02D57815-91ED-43cb-92C2-25804820EDAC}">
                  <c15:fullRef>
                    <c15:sqref>'FS Drivers and Inputs'!$J$90:$O$90</c15:sqref>
                  </c15:fullRef>
                </c:ext>
              </c:extLst>
              <c:f>'FS Drivers and Inputs'!$K$90:$O$90</c:f>
              <c:numCache>
                <c:formatCode>_(#,##0.0%_);\(#,##0.0%\);_("–"_)_%;_(@_)_%</c:formatCode>
                <c:ptCount val="5"/>
                <c:pt idx="0">
                  <c:v>2.2618866666666668E-2</c:v>
                </c:pt>
                <c:pt idx="1">
                  <c:v>2.3339149999999999E-2</c:v>
                </c:pt>
                <c:pt idx="2">
                  <c:v>2.4059433333333335E-2</c:v>
                </c:pt>
                <c:pt idx="3">
                  <c:v>2.4779716666666667E-2</c:v>
                </c:pt>
                <c:pt idx="4">
                  <c:v>2.5499999999999998E-2</c:v>
                </c:pt>
              </c:numCache>
            </c:numRef>
          </c:val>
          <c:smooth val="0"/>
          <c:extLst>
            <c:ext xmlns:c16="http://schemas.microsoft.com/office/drawing/2014/chart" uri="{C3380CC4-5D6E-409C-BE32-E72D297353CC}">
              <c16:uniqueId val="{00000003-0622-4496-8261-10009EA87A85}"/>
            </c:ext>
          </c:extLst>
        </c:ser>
        <c:dLbls>
          <c:showLegendKey val="0"/>
          <c:showVal val="0"/>
          <c:showCatName val="0"/>
          <c:showSerName val="0"/>
          <c:showPercent val="0"/>
          <c:showBubbleSize val="0"/>
        </c:dLbls>
        <c:marker val="1"/>
        <c:smooth val="0"/>
        <c:axId val="1868405056"/>
        <c:axId val="1868406016"/>
      </c:lineChart>
      <c:catAx>
        <c:axId val="1868405056"/>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868406016"/>
        <c:crosses val="autoZero"/>
        <c:auto val="1"/>
        <c:lblAlgn val="ctr"/>
        <c:lblOffset val="100"/>
        <c:noMultiLvlLbl val="0"/>
      </c:catAx>
      <c:valAx>
        <c:axId val="1868406016"/>
        <c:scaling>
          <c:orientation val="minMax"/>
        </c:scaling>
        <c:delete val="0"/>
        <c:axPos val="l"/>
        <c:numFmt formatCode="_(#,##0.0%_);\(#,##0.0%\);_(&quot;–&quot;_)_%;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868405056"/>
        <c:crosses val="autoZero"/>
        <c:crossBetween val="between"/>
      </c:valAx>
      <c:spPr>
        <a:noFill/>
        <a:ln>
          <a:noFill/>
        </a:ln>
        <a:effectLst/>
      </c:spPr>
    </c:plotArea>
    <c:legend>
      <c:legendPos val="b"/>
      <c:layout>
        <c:manualLayout>
          <c:xMode val="edge"/>
          <c:yMode val="edge"/>
          <c:x val="0.17143219597550305"/>
          <c:y val="7.4652230971128566E-2"/>
          <c:w val="0.6571353893263342"/>
          <c:h val="7.8125546806649182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'Income Statement'!$G$6</c:f>
              <c:strCache>
                <c:ptCount val="1"/>
                <c:pt idx="0">
                  <c:v>R&amp;D Expense</c:v>
                </c:pt>
              </c:strCache>
            </c:strRef>
          </c:tx>
          <c:spPr>
            <a:solidFill>
              <a:srgbClr val="7030A0"/>
            </a:solidFill>
            <a:ln>
              <a:noFill/>
            </a:ln>
            <a:effectLst/>
          </c:spPr>
          <c:invertIfNegative val="0"/>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Statement'!$H$6:$N$6</c:f>
              <c:numCache>
                <c:formatCode>_(#,##0.00_);\(#,##0.00\);_("–"_);_(@_)</c:formatCode>
                <c:ptCount val="7"/>
                <c:pt idx="0">
                  <c:v>0.95366042251874616</c:v>
                </c:pt>
                <c:pt idx="1">
                  <c:v>2.5396878109724175</c:v>
                </c:pt>
                <c:pt idx="2">
                  <c:v>4.3414137629179628</c:v>
                </c:pt>
                <c:pt idx="3">
                  <c:v>6.3729605937253879</c:v>
                </c:pt>
                <c:pt idx="4">
                  <c:v>8.6373025588527472</c:v>
                </c:pt>
                <c:pt idx="5">
                  <c:v>11.124163278948277</c:v>
                </c:pt>
                <c:pt idx="6">
                  <c:v>13.809745776591077</c:v>
                </c:pt>
              </c:numCache>
            </c:numRef>
          </c:val>
          <c:extLst>
            <c:ext xmlns:c16="http://schemas.microsoft.com/office/drawing/2014/chart" uri="{C3380CC4-5D6E-409C-BE32-E72D297353CC}">
              <c16:uniqueId val="{00000000-C03B-4C39-A5E0-F0C9E4CD53DB}"/>
            </c:ext>
          </c:extLst>
        </c:ser>
        <c:dLbls>
          <c:showLegendKey val="0"/>
          <c:showVal val="0"/>
          <c:showCatName val="0"/>
          <c:showSerName val="0"/>
          <c:showPercent val="0"/>
          <c:showBubbleSize val="0"/>
        </c:dLbls>
        <c:gapWidth val="126"/>
        <c:overlap val="-27"/>
        <c:axId val="835586080"/>
        <c:axId val="835586560"/>
      </c:barChart>
      <c:lineChart>
        <c:grouping val="standard"/>
        <c:varyColors val="0"/>
        <c:ser>
          <c:idx val="1"/>
          <c:order val="1"/>
          <c:tx>
            <c:strRef>
              <c:f>'Income Statement'!$G$7</c:f>
              <c:strCache>
                <c:ptCount val="1"/>
                <c:pt idx="0">
                  <c:v>R&amp;D Margin</c:v>
                </c:pt>
              </c:strCache>
            </c:strRef>
          </c:tx>
          <c:spPr>
            <a:ln w="28575" cap="rnd">
              <a:solidFill>
                <a:srgbClr val="EB33CC"/>
              </a:solidFill>
              <a:round/>
            </a:ln>
            <a:effectLst/>
          </c:spPr>
          <c:marker>
            <c:symbol val="circle"/>
            <c:size val="5"/>
            <c:spPr>
              <a:solidFill>
                <a:schemeClr val="bg1"/>
              </a:solidFill>
              <a:ln w="9525">
                <a:solidFill>
                  <a:srgbClr val="EB33CC"/>
                </a:solidFill>
              </a:ln>
              <a:effectLst/>
            </c:spPr>
          </c:marker>
          <c:cat>
            <c:numRef>
              <c:f>'Income Statement'!$H$5:$N$5</c:f>
              <c:numCache>
                <c:formatCode>0"E"</c:formatCode>
                <c:ptCount val="7"/>
                <c:pt idx="0">
                  <c:v>24</c:v>
                </c:pt>
                <c:pt idx="1">
                  <c:v>25</c:v>
                </c:pt>
                <c:pt idx="2">
                  <c:v>26</c:v>
                </c:pt>
                <c:pt idx="3">
                  <c:v>27</c:v>
                </c:pt>
                <c:pt idx="4">
                  <c:v>28</c:v>
                </c:pt>
                <c:pt idx="5">
                  <c:v>29</c:v>
                </c:pt>
                <c:pt idx="6">
                  <c:v>30</c:v>
                </c:pt>
              </c:numCache>
            </c:numRef>
          </c:cat>
          <c:val>
            <c:numRef>
              <c:f>'Income Statement'!$H$7:$N$7</c:f>
              <c:numCache>
                <c:formatCode>_(#,##0.0%_);\(#,##0.0%\);_("–"_)_%;_(@_)_%</c:formatCode>
                <c:ptCount val="7"/>
                <c:pt idx="0">
                  <c:v>3.0065019376637149E-3</c:v>
                </c:pt>
                <c:pt idx="1">
                  <c:v>7.5054182813864287E-3</c:v>
                </c:pt>
                <c:pt idx="2">
                  <c:v>1.2004334625109143E-2</c:v>
                </c:pt>
                <c:pt idx="3">
                  <c:v>1.6503250968831859E-2</c:v>
                </c:pt>
                <c:pt idx="4">
                  <c:v>2.1002167312554575E-2</c:v>
                </c:pt>
                <c:pt idx="5">
                  <c:v>2.550108365627729E-2</c:v>
                </c:pt>
                <c:pt idx="6">
                  <c:v>0.03</c:v>
                </c:pt>
              </c:numCache>
            </c:numRef>
          </c:val>
          <c:smooth val="0"/>
          <c:extLst>
            <c:ext xmlns:c16="http://schemas.microsoft.com/office/drawing/2014/chart" uri="{C3380CC4-5D6E-409C-BE32-E72D297353CC}">
              <c16:uniqueId val="{00000001-C03B-4C39-A5E0-F0C9E4CD53DB}"/>
            </c:ext>
          </c:extLst>
        </c:ser>
        <c:dLbls>
          <c:showLegendKey val="0"/>
          <c:showVal val="0"/>
          <c:showCatName val="0"/>
          <c:showSerName val="0"/>
          <c:showPercent val="0"/>
          <c:showBubbleSize val="0"/>
        </c:dLbls>
        <c:marker val="1"/>
        <c:smooth val="0"/>
        <c:axId val="2117383856"/>
        <c:axId val="2117384816"/>
      </c:lineChart>
      <c:catAx>
        <c:axId val="835586080"/>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5586560"/>
        <c:crosses val="autoZero"/>
        <c:auto val="1"/>
        <c:lblAlgn val="ctr"/>
        <c:lblOffset val="100"/>
        <c:noMultiLvlLbl val="0"/>
      </c:catAx>
      <c:valAx>
        <c:axId val="835586560"/>
        <c:scaling>
          <c:orientation val="minMax"/>
          <c:min val="0"/>
        </c:scaling>
        <c:delete val="0"/>
        <c:axPos val="l"/>
        <c:numFmt formatCode="_(#,##0_);\(#,##0\);_(&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835586080"/>
        <c:crosses val="autoZero"/>
        <c:crossBetween val="between"/>
      </c:valAx>
      <c:valAx>
        <c:axId val="2117384816"/>
        <c:scaling>
          <c:orientation val="minMax"/>
        </c:scaling>
        <c:delete val="0"/>
        <c:axPos val="r"/>
        <c:numFmt formatCode="_(#,##0.0%_);\(#,##0.0%\);_(&quot;–&quot;_)_%;_(@_)_%"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117383856"/>
        <c:crosses val="max"/>
        <c:crossBetween val="between"/>
      </c:valAx>
      <c:catAx>
        <c:axId val="2117383856"/>
        <c:scaling>
          <c:orientation val="minMax"/>
        </c:scaling>
        <c:delete val="1"/>
        <c:axPos val="b"/>
        <c:numFmt formatCode="0&quot;E&quot;" sourceLinked="1"/>
        <c:majorTickMark val="out"/>
        <c:minorTickMark val="none"/>
        <c:tickLblPos val="nextTo"/>
        <c:crossAx val="2117384816"/>
        <c:crosses val="autoZero"/>
        <c:auto val="1"/>
        <c:lblAlgn val="ctr"/>
        <c:lblOffset val="100"/>
        <c:noMultiLvlLbl val="0"/>
      </c:catAx>
      <c:spPr>
        <a:noFill/>
        <a:ln>
          <a:noFill/>
        </a:ln>
        <a:effectLst/>
      </c:spPr>
    </c:plotArea>
    <c:legend>
      <c:legendPos val="b"/>
      <c:layout>
        <c:manualLayout>
          <c:xMode val="edge"/>
          <c:yMode val="edge"/>
          <c:x val="8.3934752211042463E-2"/>
          <c:y val="2.9703568607322154E-2"/>
          <c:w val="0.45944241325278645"/>
          <c:h val="7.8017189598872952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6" fmlaLink="$C$4" fmlaRange="$B$13:$B$15" noThreeD="1" sel="2" val="0"/>
</file>

<file path=xl/drawings/_rels/drawing10.xml.rels><?xml version="1.0" encoding="UTF-8" standalone="yes"?>
<Relationships xmlns="http://schemas.openxmlformats.org/package/2006/relationships"><Relationship Id="rId1" Type="http://schemas.openxmlformats.org/officeDocument/2006/relationships/image" Target="../media/image7.png"/></Relationships>
</file>

<file path=xl/drawings/_rels/drawing11.xml.rels><?xml version="1.0" encoding="UTF-8" standalone="yes"?>
<Relationships xmlns="http://schemas.openxmlformats.org/package/2006/relationships"><Relationship Id="rId1" Type="http://schemas.openxmlformats.org/officeDocument/2006/relationships/image" Target="../media/image7.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image" Target="../media/image9.png"/><Relationship Id="rId7" Type="http://schemas.openxmlformats.org/officeDocument/2006/relationships/chart" Target="../charts/chart11.xml"/><Relationship Id="rId2" Type="http://schemas.openxmlformats.org/officeDocument/2006/relationships/image" Target="../media/image8.png"/><Relationship Id="rId1" Type="http://schemas.openxmlformats.org/officeDocument/2006/relationships/image" Target="../media/image7.png"/><Relationship Id="rId6" Type="http://schemas.openxmlformats.org/officeDocument/2006/relationships/chart" Target="../charts/chart10.xml"/><Relationship Id="rId5" Type="http://schemas.openxmlformats.org/officeDocument/2006/relationships/image" Target="../media/image11.png"/><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xdr:from>
      <xdr:col>14</xdr:col>
      <xdr:colOff>188875</xdr:colOff>
      <xdr:row>1</xdr:row>
      <xdr:rowOff>0</xdr:rowOff>
    </xdr:from>
    <xdr:to>
      <xdr:col>25</xdr:col>
      <xdr:colOff>0</xdr:colOff>
      <xdr:row>28</xdr:row>
      <xdr:rowOff>0</xdr:rowOff>
    </xdr:to>
    <xdr:sp macro="" textlink="">
      <xdr:nvSpPr>
        <xdr:cNvPr id="2" name="TextBox 4">
          <a:extLst>
            <a:ext uri="{FF2B5EF4-FFF2-40B4-BE49-F238E27FC236}">
              <a16:creationId xmlns:a16="http://schemas.microsoft.com/office/drawing/2014/main" id="{EC865D08-9B06-4606-8E13-BC8D22CFEB8B}"/>
            </a:ext>
          </a:extLst>
        </xdr:cNvPr>
        <xdr:cNvSpPr txBox="1"/>
      </xdr:nvSpPr>
      <xdr:spPr>
        <a:xfrm>
          <a:off x="11359795" y="182880"/>
          <a:ext cx="6516725" cy="5120640"/>
        </a:xfrm>
        <a:prstGeom prst="rect">
          <a:avLst/>
        </a:prstGeom>
        <a:noFill/>
        <a:ln w="19050">
          <a:solidFill>
            <a:sysClr val="windowText" lastClr="000000"/>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400"/>
            <a:t>You are evaluating the potential leveraged buyout of Lemon Grove Ltd, a non-alcoholic beverages manufacturer with stable demand and predictable operating performance. </a:t>
          </a:r>
        </a:p>
        <a:p>
          <a:endParaRPr lang="en-GB" sz="1400"/>
        </a:p>
        <a:p>
          <a:r>
            <a:rPr lang="en-GB" sz="1400"/>
            <a:t>The company generated £480 million of LTM revenue and £96 million of LTM EBITDA (20% margin).</a:t>
          </a:r>
        </a:p>
        <a:p>
          <a:r>
            <a:rPr lang="en-GB" sz="1400"/>
            <a:t>The proposed acquisition assumes an entry multiple of 9.5x EBITDA. </a:t>
          </a:r>
        </a:p>
        <a:p>
          <a:endParaRPr lang="en-GB" sz="1400"/>
        </a:p>
        <a:p>
          <a:r>
            <a:rPr lang="en-GB" sz="1400"/>
            <a:t>The business currently carries £40 million of cash, £220 million of existing debt, and £48 million of net working capital (equal to 10% of revenue).</a:t>
          </a:r>
        </a:p>
        <a:p>
          <a:endParaRPr lang="en-GB" sz="1400"/>
        </a:p>
        <a:p>
          <a:r>
            <a:rPr lang="en-GB" sz="1400"/>
            <a:t>Assume revenues grow 7% per year, EBITDA margins remain at 20%, D&amp;A is 2.5% of revenue, CapEx is 4% of revenue, and NWC continues to represent 10% of revenue each year. The Corporate</a:t>
          </a:r>
          <a:r>
            <a:rPr lang="en-GB" sz="1400" baseline="0"/>
            <a:t> Tax Rate is 20%</a:t>
          </a:r>
          <a:endParaRPr lang="en-GB" sz="1400"/>
        </a:p>
        <a:p>
          <a:endParaRPr lang="en-GB" sz="1400"/>
        </a:p>
        <a:p>
          <a:r>
            <a:rPr lang="en-GB" sz="1400"/>
            <a:t>The transaction will be funded with £500 million of new term-loan debt at a 9% interest rate, with no amortisation (bullet repayment), and all remaining capital provided by the sponsor as equity.</a:t>
          </a:r>
        </a:p>
        <a:p>
          <a:endParaRPr lang="en-GB" sz="1400"/>
        </a:p>
        <a:p>
          <a:r>
            <a:rPr lang="en-GB" sz="1400"/>
            <a:t>At the end of Year 5, assume the company is sold at an exit multiple of 9.5x EBITDA, the same as at entry, and all outstanding debt is repaid at exit.</a:t>
          </a:r>
        </a:p>
        <a:p>
          <a:endParaRPr lang="en-GB" sz="1400"/>
        </a:p>
        <a:p>
          <a:r>
            <a:rPr lang="en-GB" sz="1400"/>
            <a:t>Using this information, calculate the entry Enterprise Value, the equity contribution, the 5-year forecasts, and determine the sponsor’s MOIC and IRR over the 5-year holding period.</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198120</xdr:colOff>
      <xdr:row>0</xdr:row>
      <xdr:rowOff>30480</xdr:rowOff>
    </xdr:from>
    <xdr:ext cx="1569720" cy="419100"/>
    <xdr:pic>
      <xdr:nvPicPr>
        <xdr:cNvPr id="2" name="Picture 2">
          <a:extLst>
            <a:ext uri="{FF2B5EF4-FFF2-40B4-BE49-F238E27FC236}">
              <a16:creationId xmlns:a16="http://schemas.microsoft.com/office/drawing/2014/main" id="{EA6464C2-2BE4-4FF0-B8F0-12F55BCAE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30480"/>
          <a:ext cx="1569720" cy="4191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198120</xdr:colOff>
      <xdr:row>0</xdr:row>
      <xdr:rowOff>30480</xdr:rowOff>
    </xdr:from>
    <xdr:ext cx="1569720" cy="419100"/>
    <xdr:pic>
      <xdr:nvPicPr>
        <xdr:cNvPr id="2" name="Picture 2">
          <a:extLst>
            <a:ext uri="{FF2B5EF4-FFF2-40B4-BE49-F238E27FC236}">
              <a16:creationId xmlns:a16="http://schemas.microsoft.com/office/drawing/2014/main" id="{DAF3BB38-377E-46BB-A048-B0E2F784A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30480"/>
          <a:ext cx="1569720" cy="4191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14</xdr:col>
      <xdr:colOff>188875</xdr:colOff>
      <xdr:row>41</xdr:row>
      <xdr:rowOff>0</xdr:rowOff>
    </xdr:from>
    <xdr:to>
      <xdr:col>25</xdr:col>
      <xdr:colOff>0</xdr:colOff>
      <xdr:row>68</xdr:row>
      <xdr:rowOff>0</xdr:rowOff>
    </xdr:to>
    <xdr:sp macro="" textlink="">
      <xdr:nvSpPr>
        <xdr:cNvPr id="2" name="TextBox 4">
          <a:extLst>
            <a:ext uri="{FF2B5EF4-FFF2-40B4-BE49-F238E27FC236}">
              <a16:creationId xmlns:a16="http://schemas.microsoft.com/office/drawing/2014/main" id="{B76261A8-4DEF-476A-B480-C40C9F6D39D2}"/>
            </a:ext>
          </a:extLst>
        </xdr:cNvPr>
        <xdr:cNvSpPr txBox="1"/>
      </xdr:nvSpPr>
      <xdr:spPr>
        <a:xfrm>
          <a:off x="11359795" y="182880"/>
          <a:ext cx="6516725" cy="5120640"/>
        </a:xfrm>
        <a:prstGeom prst="rect">
          <a:avLst/>
        </a:prstGeom>
        <a:noFill/>
        <a:ln w="19050">
          <a:solidFill>
            <a:sysClr val="windowText" lastClr="000000"/>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400"/>
            <a:t>You are evaluating the potential leveraged buyout of Lemon Grove Ltd, a non-alcoholic beverages manufacturer with stable demand and predictable operating performance. </a:t>
          </a:r>
        </a:p>
        <a:p>
          <a:endParaRPr lang="en-GB" sz="1400"/>
        </a:p>
        <a:p>
          <a:r>
            <a:rPr lang="en-GB" sz="1400"/>
            <a:t>The company generated £480 million of LTM revenue and £96 million of LTM EBITDA (20% margin).</a:t>
          </a:r>
        </a:p>
        <a:p>
          <a:r>
            <a:rPr lang="en-GB" sz="1400"/>
            <a:t>The proposed acquisition assumes an entry multiple of 9.5x EBITDA. </a:t>
          </a:r>
        </a:p>
        <a:p>
          <a:endParaRPr lang="en-GB" sz="1400"/>
        </a:p>
        <a:p>
          <a:r>
            <a:rPr lang="en-GB" sz="1400"/>
            <a:t>The business currently carries £40 million of cash, £220 million of existing debt, and £48 million of net working capital (equal to 10% of revenue).</a:t>
          </a:r>
        </a:p>
        <a:p>
          <a:endParaRPr lang="en-GB" sz="1400"/>
        </a:p>
        <a:p>
          <a:r>
            <a:rPr lang="en-GB" sz="1400"/>
            <a:t>Assume revenues grow 7% per year, EBITDA margins remain at 20%, D&amp;A is 2.5% of revenue, CapEx is 4% of revenue, and NWC continues to represent 10% of revenue each year. The Corporate</a:t>
          </a:r>
          <a:r>
            <a:rPr lang="en-GB" sz="1400" baseline="0"/>
            <a:t> Tax Rate is 20%</a:t>
          </a:r>
          <a:endParaRPr lang="en-GB" sz="1400"/>
        </a:p>
        <a:p>
          <a:endParaRPr lang="en-GB" sz="1400"/>
        </a:p>
        <a:p>
          <a:r>
            <a:rPr lang="en-GB" sz="1400"/>
            <a:t>The transaction will be funded with £500 million of new term-loan debt at a 9% interest rate, with no amortisation (bullet repayment), and all remaining capital provided by the sponsor as equity.</a:t>
          </a:r>
        </a:p>
        <a:p>
          <a:endParaRPr lang="en-GB" sz="1400"/>
        </a:p>
        <a:p>
          <a:r>
            <a:rPr lang="en-GB" sz="1400"/>
            <a:t>At the end of Year 5, assume the company is sold at an exit multiple of 9.5x EBITDA, the same as at entry, and all outstanding debt is repaid at exit.</a:t>
          </a:r>
        </a:p>
        <a:p>
          <a:endParaRPr lang="en-GB" sz="1400"/>
        </a:p>
        <a:p>
          <a:r>
            <a:rPr lang="en-GB" sz="1400"/>
            <a:t>Using this information, calculate the entry Enterprise Value, the equity contribution, the 5-year forecasts, and determine the sponsor’s MOIC and IRR over the 5-year holding period.</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68581</xdr:colOff>
      <xdr:row>3</xdr:row>
      <xdr:rowOff>156208</xdr:rowOff>
    </xdr:from>
    <xdr:to>
      <xdr:col>4</xdr:col>
      <xdr:colOff>251461</xdr:colOff>
      <xdr:row>10</xdr:row>
      <xdr:rowOff>7619</xdr:rowOff>
    </xdr:to>
    <xdr:pic>
      <xdr:nvPicPr>
        <xdr:cNvPr id="2" name="Picture 1" descr="KKR Logo and symbol, meaning, history, PNG, brand">
          <a:extLst>
            <a:ext uri="{FF2B5EF4-FFF2-40B4-BE49-F238E27FC236}">
              <a16:creationId xmlns:a16="http://schemas.microsoft.com/office/drawing/2014/main" id="{65607216-9EE4-7650-CE7B-F64EB2BABD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6241" y="819148"/>
          <a:ext cx="2011680" cy="1131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289560</xdr:colOff>
      <xdr:row>4</xdr:row>
      <xdr:rowOff>91440</xdr:rowOff>
    </xdr:from>
    <xdr:to>
      <xdr:col>6</xdr:col>
      <xdr:colOff>3810</xdr:colOff>
      <xdr:row>9</xdr:row>
      <xdr:rowOff>91440</xdr:rowOff>
    </xdr:to>
    <xdr:pic>
      <xdr:nvPicPr>
        <xdr:cNvPr id="4" name="Graphic 3" descr="Fencing with solid fill">
          <a:extLst>
            <a:ext uri="{FF2B5EF4-FFF2-40B4-BE49-F238E27FC236}">
              <a16:creationId xmlns:a16="http://schemas.microsoft.com/office/drawing/2014/main" id="{48A90814-54C9-4016-653A-A44C43D7909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46020" y="1036320"/>
          <a:ext cx="914400" cy="914400"/>
        </a:xfrm>
        <a:prstGeom prst="rect">
          <a:avLst/>
        </a:prstGeom>
      </xdr:spPr>
    </xdr:pic>
    <xdr:clientData/>
  </xdr:twoCellAnchor>
  <xdr:twoCellAnchor editAs="oneCell">
    <xdr:from>
      <xdr:col>6</xdr:col>
      <xdr:colOff>60961</xdr:colOff>
      <xdr:row>4</xdr:row>
      <xdr:rowOff>30480</xdr:rowOff>
    </xdr:from>
    <xdr:to>
      <xdr:col>10</xdr:col>
      <xdr:colOff>234076</xdr:colOff>
      <xdr:row>8</xdr:row>
      <xdr:rowOff>167640</xdr:rowOff>
    </xdr:to>
    <xdr:pic>
      <xdr:nvPicPr>
        <xdr:cNvPr id="6" name="Picture 5" descr="Bain Capital Private Equity">
          <a:extLst>
            <a:ext uri="{FF2B5EF4-FFF2-40B4-BE49-F238E27FC236}">
              <a16:creationId xmlns:a16="http://schemas.microsoft.com/office/drawing/2014/main" id="{B69B84D2-33F0-015B-E7F0-2F125BD21C09}"/>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459" t="17031" r="-459" b="21834"/>
        <a:stretch/>
      </xdr:blipFill>
      <xdr:spPr bwMode="auto">
        <a:xfrm>
          <a:off x="3436621" y="975360"/>
          <a:ext cx="2611515" cy="8686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495300</xdr:colOff>
      <xdr:row>11</xdr:row>
      <xdr:rowOff>13283</xdr:rowOff>
    </xdr:from>
    <xdr:to>
      <xdr:col>8</xdr:col>
      <xdr:colOff>106680</xdr:colOff>
      <xdr:row>15</xdr:row>
      <xdr:rowOff>174927</xdr:rowOff>
    </xdr:to>
    <xdr:pic>
      <xdr:nvPicPr>
        <xdr:cNvPr id="7" name="Picture 6" descr="FUJISOFT INCORPORATED | Main | RocketBoards.org">
          <a:extLst>
            <a:ext uri="{FF2B5EF4-FFF2-40B4-BE49-F238E27FC236}">
              <a16:creationId xmlns:a16="http://schemas.microsoft.com/office/drawing/2014/main" id="{F3BF6F3A-325B-9B5F-9B5B-DAA76FC450BB}"/>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432560" y="2139263"/>
          <a:ext cx="3268980" cy="8931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266700</xdr:colOff>
      <xdr:row>45</xdr:row>
      <xdr:rowOff>0</xdr:rowOff>
    </xdr:from>
    <xdr:to>
      <xdr:col>7</xdr:col>
      <xdr:colOff>160020</xdr:colOff>
      <xdr:row>60</xdr:row>
      <xdr:rowOff>0</xdr:rowOff>
    </xdr:to>
    <xdr:graphicFrame macro="">
      <xdr:nvGraphicFramePr>
        <xdr:cNvPr id="13" name="Chart 12">
          <a:extLst>
            <a:ext uri="{FF2B5EF4-FFF2-40B4-BE49-F238E27FC236}">
              <a16:creationId xmlns:a16="http://schemas.microsoft.com/office/drawing/2014/main" id="{797DF038-7C85-8637-BDE6-9DF884EC3D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38100</xdr:colOff>
      <xdr:row>45</xdr:row>
      <xdr:rowOff>15240</xdr:rowOff>
    </xdr:from>
    <xdr:to>
      <xdr:col>14</xdr:col>
      <xdr:colOff>9525</xdr:colOff>
      <xdr:row>60</xdr:row>
      <xdr:rowOff>19050</xdr:rowOff>
    </xdr:to>
    <xdr:graphicFrame macro="">
      <xdr:nvGraphicFramePr>
        <xdr:cNvPr id="15" name="Chart 14">
          <a:extLst>
            <a:ext uri="{FF2B5EF4-FFF2-40B4-BE49-F238E27FC236}">
              <a16:creationId xmlns:a16="http://schemas.microsoft.com/office/drawing/2014/main" id="{2F7A29E8-4C1D-7141-EF1C-47325BC733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28575</xdr:colOff>
      <xdr:row>65</xdr:row>
      <xdr:rowOff>5715</xdr:rowOff>
    </xdr:from>
    <xdr:to>
      <xdr:col>14</xdr:col>
      <xdr:colOff>0</xdr:colOff>
      <xdr:row>79</xdr:row>
      <xdr:rowOff>139065</xdr:rowOff>
    </xdr:to>
    <xdr:graphicFrame macro="">
      <xdr:nvGraphicFramePr>
        <xdr:cNvPr id="17" name="Chart 16">
          <a:extLst>
            <a:ext uri="{FF2B5EF4-FFF2-40B4-BE49-F238E27FC236}">
              <a16:creationId xmlns:a16="http://schemas.microsoft.com/office/drawing/2014/main" id="{85356037-0C5A-53A8-5EF9-5052EB8F9C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304800</xdr:colOff>
      <xdr:row>87</xdr:row>
      <xdr:rowOff>213360</xdr:rowOff>
    </xdr:from>
    <xdr:to>
      <xdr:col>7</xdr:col>
      <xdr:colOff>137160</xdr:colOff>
      <xdr:row>102</xdr:row>
      <xdr:rowOff>167640</xdr:rowOff>
    </xdr:to>
    <xdr:graphicFrame macro="">
      <xdr:nvGraphicFramePr>
        <xdr:cNvPr id="2" name="Chart 1">
          <a:extLst>
            <a:ext uri="{FF2B5EF4-FFF2-40B4-BE49-F238E27FC236}">
              <a16:creationId xmlns:a16="http://schemas.microsoft.com/office/drawing/2014/main" id="{AB20F551-4E14-4532-8DC3-453EFB6D03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295275</xdr:colOff>
      <xdr:row>106</xdr:row>
      <xdr:rowOff>0</xdr:rowOff>
    </xdr:from>
    <xdr:to>
      <xdr:col>7</xdr:col>
      <xdr:colOff>161925</xdr:colOff>
      <xdr:row>122</xdr:row>
      <xdr:rowOff>5715</xdr:rowOff>
    </xdr:to>
    <xdr:graphicFrame macro="">
      <xdr:nvGraphicFramePr>
        <xdr:cNvPr id="3" name="Chart 2">
          <a:extLst>
            <a:ext uri="{FF2B5EF4-FFF2-40B4-BE49-F238E27FC236}">
              <a16:creationId xmlns:a16="http://schemas.microsoft.com/office/drawing/2014/main" id="{15C65087-19B5-4166-A204-2CAAC06EE6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106</xdr:row>
      <xdr:rowOff>0</xdr:rowOff>
    </xdr:from>
    <xdr:to>
      <xdr:col>13</xdr:col>
      <xdr:colOff>723900</xdr:colOff>
      <xdr:row>122</xdr:row>
      <xdr:rowOff>26670</xdr:rowOff>
    </xdr:to>
    <xdr:graphicFrame macro="">
      <xdr:nvGraphicFramePr>
        <xdr:cNvPr id="5" name="Chart 4">
          <a:extLst>
            <a:ext uri="{FF2B5EF4-FFF2-40B4-BE49-F238E27FC236}">
              <a16:creationId xmlns:a16="http://schemas.microsoft.com/office/drawing/2014/main" id="{542ACD36-E4A8-43C2-968C-913BDBCEF9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289560</xdr:colOff>
      <xdr:row>125</xdr:row>
      <xdr:rowOff>220980</xdr:rowOff>
    </xdr:from>
    <xdr:to>
      <xdr:col>7</xdr:col>
      <xdr:colOff>182880</xdr:colOff>
      <xdr:row>140</xdr:row>
      <xdr:rowOff>175260</xdr:rowOff>
    </xdr:to>
    <xdr:graphicFrame macro="">
      <xdr:nvGraphicFramePr>
        <xdr:cNvPr id="6" name="Chart 5">
          <a:extLst>
            <a:ext uri="{FF2B5EF4-FFF2-40B4-BE49-F238E27FC236}">
              <a16:creationId xmlns:a16="http://schemas.microsoft.com/office/drawing/2014/main" id="{3A96192A-7656-442D-97AF-16FF0FED7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8964</xdr:colOff>
      <xdr:row>88</xdr:row>
      <xdr:rowOff>0</xdr:rowOff>
    </xdr:from>
    <xdr:to>
      <xdr:col>14</xdr:col>
      <xdr:colOff>0</xdr:colOff>
      <xdr:row>103</xdr:row>
      <xdr:rowOff>35860</xdr:rowOff>
    </xdr:to>
    <xdr:graphicFrame macro="">
      <xdr:nvGraphicFramePr>
        <xdr:cNvPr id="7" name="Chart 6">
          <a:extLst>
            <a:ext uri="{FF2B5EF4-FFF2-40B4-BE49-F238E27FC236}">
              <a16:creationId xmlns:a16="http://schemas.microsoft.com/office/drawing/2014/main" id="{A26579C0-6F42-4424-A5E5-1EF8607D6F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788894</xdr:colOff>
      <xdr:row>126</xdr:row>
      <xdr:rowOff>0</xdr:rowOff>
    </xdr:from>
    <xdr:to>
      <xdr:col>14</xdr:col>
      <xdr:colOff>0</xdr:colOff>
      <xdr:row>141</xdr:row>
      <xdr:rowOff>0</xdr:rowOff>
    </xdr:to>
    <xdr:graphicFrame macro="">
      <xdr:nvGraphicFramePr>
        <xdr:cNvPr id="4" name="Chart 3">
          <a:extLst>
            <a:ext uri="{FF2B5EF4-FFF2-40B4-BE49-F238E27FC236}">
              <a16:creationId xmlns:a16="http://schemas.microsoft.com/office/drawing/2014/main" id="{18D41786-059E-4B9D-987B-9707F67A7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0.14063</cdr:x>
      <cdr:y>0.05278</cdr:y>
    </cdr:from>
    <cdr:to>
      <cdr:x>0.96528</cdr:x>
      <cdr:y>0.05278</cdr:y>
    </cdr:to>
    <cdr:cxnSp macro="">
      <cdr:nvCxnSpPr>
        <cdr:cNvPr id="3" name="Straight Connector 2">
          <a:extLst xmlns:a="http://schemas.openxmlformats.org/drawingml/2006/main">
            <a:ext uri="{FF2B5EF4-FFF2-40B4-BE49-F238E27FC236}">
              <a16:creationId xmlns:a16="http://schemas.microsoft.com/office/drawing/2014/main" id="{B9BD4747-802A-FEDE-5681-EDC5DB8E76F7}"/>
            </a:ext>
          </a:extLst>
        </cdr:cNvPr>
        <cdr:cNvCxnSpPr/>
      </cdr:nvCxnSpPr>
      <cdr:spPr>
        <a:xfrm xmlns:a="http://schemas.openxmlformats.org/drawingml/2006/main">
          <a:off x="617220" y="144780"/>
          <a:ext cx="3619500" cy="0"/>
        </a:xfrm>
        <a:prstGeom xmlns:a="http://schemas.openxmlformats.org/drawingml/2006/main" prst="line">
          <a:avLst/>
        </a:prstGeom>
        <a:ln xmlns:a="http://schemas.openxmlformats.org/drawingml/2006/main" w="15875">
          <a:solidFill>
            <a:srgbClr val="002060"/>
          </a:solidFill>
          <a:prstDash val="lg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0.13194</cdr:x>
      <cdr:y>0.04722</cdr:y>
    </cdr:from>
    <cdr:to>
      <cdr:x>0.32465</cdr:x>
      <cdr:y>0.14167</cdr:y>
    </cdr:to>
    <cdr:sp macro="" textlink="">
      <cdr:nvSpPr>
        <cdr:cNvPr id="4" name="TextBox 3">
          <a:extLst xmlns:a="http://schemas.openxmlformats.org/drawingml/2006/main">
            <a:ext uri="{FF2B5EF4-FFF2-40B4-BE49-F238E27FC236}">
              <a16:creationId xmlns:a16="http://schemas.microsoft.com/office/drawing/2014/main" id="{56428D24-D0B7-1CB3-E217-6A32E49237B0}"/>
            </a:ext>
          </a:extLst>
        </cdr:cNvPr>
        <cdr:cNvSpPr txBox="1"/>
      </cdr:nvSpPr>
      <cdr:spPr>
        <a:xfrm xmlns:a="http://schemas.openxmlformats.org/drawingml/2006/main">
          <a:off x="579120" y="129540"/>
          <a:ext cx="845820" cy="2590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1" kern="1200">
              <a:solidFill>
                <a:srgbClr val="7030A0"/>
              </a:solidFill>
            </a:rPr>
            <a:t>Maximum</a:t>
          </a:r>
        </a:p>
      </cdr:txBody>
    </cdr:sp>
  </cdr:relSizeAnchor>
</c:userShapes>
</file>

<file path=xl/drawings/drawing6.xml><?xml version="1.0" encoding="utf-8"?>
<c:userShapes xmlns:c="http://schemas.openxmlformats.org/drawingml/2006/chart">
  <cdr:relSizeAnchor xmlns:cdr="http://schemas.openxmlformats.org/drawingml/2006/chartDrawing">
    <cdr:from>
      <cdr:x>0.1369</cdr:x>
      <cdr:y>0.19409</cdr:y>
    </cdr:from>
    <cdr:to>
      <cdr:x>0.90051</cdr:x>
      <cdr:y>0.29193</cdr:y>
    </cdr:to>
    <cdr:sp macro="" textlink="">
      <cdr:nvSpPr>
        <cdr:cNvPr id="3" name="Arrow: Right 2">
          <a:extLst xmlns:a="http://schemas.openxmlformats.org/drawingml/2006/main">
            <a:ext uri="{FF2B5EF4-FFF2-40B4-BE49-F238E27FC236}">
              <a16:creationId xmlns:a16="http://schemas.microsoft.com/office/drawing/2014/main" id="{1B5B5A92-5903-855D-4AEC-9E1142684627}"/>
            </a:ext>
          </a:extLst>
        </cdr:cNvPr>
        <cdr:cNvSpPr/>
      </cdr:nvSpPr>
      <cdr:spPr>
        <a:xfrm xmlns:a="http://schemas.openxmlformats.org/drawingml/2006/main" rot="20743554">
          <a:off x="649907" y="573834"/>
          <a:ext cx="3625028" cy="289275"/>
        </a:xfrm>
        <a:prstGeom xmlns:a="http://schemas.openxmlformats.org/drawingml/2006/main" prst="rightArrow">
          <a:avLst/>
        </a:prstGeom>
        <a:solidFill xmlns:a="http://schemas.openxmlformats.org/drawingml/2006/main">
          <a:schemeClr val="tx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en-GB" sz="1100" kern="1200"/>
            <a:t>6.4% CAGR</a:t>
          </a:r>
        </a:p>
      </cdr:txBody>
    </cdr:sp>
  </cdr:relSizeAnchor>
</c:userShapes>
</file>

<file path=xl/drawings/drawing7.xml><?xml version="1.0" encoding="utf-8"?>
<c:userShapes xmlns:c="http://schemas.openxmlformats.org/drawingml/2006/chart">
  <cdr:relSizeAnchor xmlns:cdr="http://schemas.openxmlformats.org/drawingml/2006/chartDrawing">
    <cdr:from>
      <cdr:x>0.03799</cdr:x>
      <cdr:y>0.15613</cdr:y>
    </cdr:from>
    <cdr:to>
      <cdr:x>0.2461</cdr:x>
      <cdr:y>0.23446</cdr:y>
    </cdr:to>
    <cdr:sp macro="" textlink="">
      <cdr:nvSpPr>
        <cdr:cNvPr id="2" name="TextBox 1">
          <a:extLst xmlns:a="http://schemas.openxmlformats.org/drawingml/2006/main">
            <a:ext uri="{FF2B5EF4-FFF2-40B4-BE49-F238E27FC236}">
              <a16:creationId xmlns:a16="http://schemas.microsoft.com/office/drawing/2014/main" id="{4D7B97E8-CEAE-30AC-7B08-A4F59F7A072A}"/>
            </a:ext>
          </a:extLst>
        </cdr:cNvPr>
        <cdr:cNvSpPr txBox="1"/>
      </cdr:nvSpPr>
      <cdr:spPr>
        <a:xfrm xmlns:a="http://schemas.openxmlformats.org/drawingml/2006/main">
          <a:off x="190052" y="415686"/>
          <a:ext cx="1041030" cy="2085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b="1" kern="1200"/>
            <a:t>(JPY</a:t>
          </a:r>
          <a:r>
            <a:rPr lang="en-GB" sz="1100" b="1" kern="1200" baseline="0"/>
            <a:t> Bn)</a:t>
          </a:r>
          <a:endParaRPr lang="en-GB" sz="1100" b="1" kern="1200"/>
        </a:p>
      </cdr:txBody>
    </cdr:sp>
  </cdr:relSizeAnchor>
</c:userShapes>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106680</xdr:colOff>
          <xdr:row>3</xdr:row>
          <xdr:rowOff>0</xdr:rowOff>
        </xdr:from>
        <xdr:to>
          <xdr:col>4</xdr:col>
          <xdr:colOff>0</xdr:colOff>
          <xdr:row>3</xdr:row>
          <xdr:rowOff>182880</xdr:rowOff>
        </xdr:to>
        <xdr:sp macro="" textlink="">
          <xdr:nvSpPr>
            <xdr:cNvPr id="7179" name="Drop Down 11" hidden="1">
              <a:extLst>
                <a:ext uri="{63B3BB69-23CF-44E3-9099-C40C66FF867C}">
                  <a14:compatExt spid="_x0000_s7179"/>
                </a:ext>
                <a:ext uri="{FF2B5EF4-FFF2-40B4-BE49-F238E27FC236}">
                  <a16:creationId xmlns:a16="http://schemas.microsoft.com/office/drawing/2014/main" id="{00000000-0008-0000-0500-00000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27</xdr:col>
      <xdr:colOff>762000</xdr:colOff>
      <xdr:row>183</xdr:row>
      <xdr:rowOff>175260</xdr:rowOff>
    </xdr:from>
    <xdr:to>
      <xdr:col>71</xdr:col>
      <xdr:colOff>340244</xdr:colOff>
      <xdr:row>192</xdr:row>
      <xdr:rowOff>66888</xdr:rowOff>
    </xdr:to>
    <xdr:pic>
      <xdr:nvPicPr>
        <xdr:cNvPr id="5" name="Picture 4">
          <a:extLst>
            <a:ext uri="{FF2B5EF4-FFF2-40B4-BE49-F238E27FC236}">
              <a16:creationId xmlns:a16="http://schemas.microsoft.com/office/drawing/2014/main" id="{4ED82C04-131F-6C9B-EDA2-BCC42D2831F3}"/>
            </a:ext>
          </a:extLst>
        </xdr:cNvPr>
        <xdr:cNvPicPr>
          <a:picLocks noChangeAspect="1"/>
        </xdr:cNvPicPr>
      </xdr:nvPicPr>
      <xdr:blipFill>
        <a:blip xmlns:r="http://schemas.openxmlformats.org/officeDocument/2006/relationships" r:embed="rId1"/>
        <a:stretch>
          <a:fillRect/>
        </a:stretch>
      </xdr:blipFill>
      <xdr:spPr>
        <a:xfrm>
          <a:off x="23355300" y="32590740"/>
          <a:ext cx="8268854" cy="15242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198120</xdr:colOff>
      <xdr:row>0</xdr:row>
      <xdr:rowOff>30480</xdr:rowOff>
    </xdr:from>
    <xdr:ext cx="1569720" cy="419100"/>
    <xdr:pic>
      <xdr:nvPicPr>
        <xdr:cNvPr id="2" name="Picture 2">
          <a:extLst>
            <a:ext uri="{FF2B5EF4-FFF2-40B4-BE49-F238E27FC236}">
              <a16:creationId xmlns:a16="http://schemas.microsoft.com/office/drawing/2014/main" id="{86EE9A71-D6EB-4DC0-8332-2EA6F53FB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30480"/>
          <a:ext cx="1569720" cy="4191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9</xdr:col>
      <xdr:colOff>20595</xdr:colOff>
      <xdr:row>21</xdr:row>
      <xdr:rowOff>152638</xdr:rowOff>
    </xdr:from>
    <xdr:to>
      <xdr:col>18</xdr:col>
      <xdr:colOff>290434</xdr:colOff>
      <xdr:row>45</xdr:row>
      <xdr:rowOff>109997</xdr:rowOff>
    </xdr:to>
    <xdr:pic>
      <xdr:nvPicPr>
        <xdr:cNvPr id="3" name="Picture 2">
          <a:extLst>
            <a:ext uri="{FF2B5EF4-FFF2-40B4-BE49-F238E27FC236}">
              <a16:creationId xmlns:a16="http://schemas.microsoft.com/office/drawing/2014/main" id="{035C0D26-35F9-4D4E-A048-692989AC6658}"/>
            </a:ext>
          </a:extLst>
        </xdr:cNvPr>
        <xdr:cNvPicPr>
          <a:picLocks noChangeAspect="1"/>
        </xdr:cNvPicPr>
      </xdr:nvPicPr>
      <xdr:blipFill>
        <a:blip xmlns:r="http://schemas.openxmlformats.org/officeDocument/2006/relationships" r:embed="rId2"/>
        <a:stretch>
          <a:fillRect/>
        </a:stretch>
      </xdr:blipFill>
      <xdr:spPr>
        <a:xfrm>
          <a:off x="11182865" y="4374530"/>
          <a:ext cx="7468083" cy="4400076"/>
        </a:xfrm>
        <a:prstGeom prst="rect">
          <a:avLst/>
        </a:prstGeom>
      </xdr:spPr>
    </xdr:pic>
    <xdr:clientData/>
  </xdr:twoCellAnchor>
  <xdr:twoCellAnchor editAs="oneCell">
    <xdr:from>
      <xdr:col>18</xdr:col>
      <xdr:colOff>47060</xdr:colOff>
      <xdr:row>21</xdr:row>
      <xdr:rowOff>0</xdr:rowOff>
    </xdr:from>
    <xdr:to>
      <xdr:col>30</xdr:col>
      <xdr:colOff>33454</xdr:colOff>
      <xdr:row>43</xdr:row>
      <xdr:rowOff>71739</xdr:rowOff>
    </xdr:to>
    <xdr:pic>
      <xdr:nvPicPr>
        <xdr:cNvPr id="4" name="Picture 3">
          <a:extLst>
            <a:ext uri="{FF2B5EF4-FFF2-40B4-BE49-F238E27FC236}">
              <a16:creationId xmlns:a16="http://schemas.microsoft.com/office/drawing/2014/main" id="{342B7156-AFC4-4361-8E2D-5A9E7AC1963D}"/>
            </a:ext>
          </a:extLst>
        </xdr:cNvPr>
        <xdr:cNvPicPr>
          <a:picLocks noChangeAspect="1"/>
        </xdr:cNvPicPr>
      </xdr:nvPicPr>
      <xdr:blipFill>
        <a:blip xmlns:r="http://schemas.openxmlformats.org/officeDocument/2006/relationships" r:embed="rId3"/>
        <a:stretch>
          <a:fillRect/>
        </a:stretch>
      </xdr:blipFill>
      <xdr:spPr>
        <a:xfrm>
          <a:off x="16769871" y="4221892"/>
          <a:ext cx="7390923" cy="4138038"/>
        </a:xfrm>
        <a:prstGeom prst="rect">
          <a:avLst/>
        </a:prstGeom>
      </xdr:spPr>
    </xdr:pic>
    <xdr:clientData/>
  </xdr:twoCellAnchor>
  <xdr:twoCellAnchor editAs="oneCell">
    <xdr:from>
      <xdr:col>17</xdr:col>
      <xdr:colOff>485362</xdr:colOff>
      <xdr:row>45</xdr:row>
      <xdr:rowOff>3255</xdr:rowOff>
    </xdr:from>
    <xdr:to>
      <xdr:col>25</xdr:col>
      <xdr:colOff>228887</xdr:colOff>
      <xdr:row>63</xdr:row>
      <xdr:rowOff>109661</xdr:rowOff>
    </xdr:to>
    <xdr:pic>
      <xdr:nvPicPr>
        <xdr:cNvPr id="5" name="Picture 4">
          <a:extLst>
            <a:ext uri="{FF2B5EF4-FFF2-40B4-BE49-F238E27FC236}">
              <a16:creationId xmlns:a16="http://schemas.microsoft.com/office/drawing/2014/main" id="{7B4F029F-A68D-47BF-B828-0778E5C204BE}"/>
            </a:ext>
          </a:extLst>
        </xdr:cNvPr>
        <xdr:cNvPicPr>
          <a:picLocks noChangeAspect="1"/>
        </xdr:cNvPicPr>
      </xdr:nvPicPr>
      <xdr:blipFill>
        <a:blip xmlns:r="http://schemas.openxmlformats.org/officeDocument/2006/relationships" r:embed="rId4"/>
        <a:stretch>
          <a:fillRect/>
        </a:stretch>
      </xdr:blipFill>
      <xdr:spPr>
        <a:xfrm>
          <a:off x="16590335" y="8673579"/>
          <a:ext cx="5931428" cy="3438921"/>
        </a:xfrm>
        <a:prstGeom prst="rect">
          <a:avLst/>
        </a:prstGeom>
      </xdr:spPr>
    </xdr:pic>
    <xdr:clientData/>
  </xdr:twoCellAnchor>
  <xdr:twoCellAnchor editAs="oneCell">
    <xdr:from>
      <xdr:col>9</xdr:col>
      <xdr:colOff>20595</xdr:colOff>
      <xdr:row>48</xdr:row>
      <xdr:rowOff>53757</xdr:rowOff>
    </xdr:from>
    <xdr:to>
      <xdr:col>16</xdr:col>
      <xdr:colOff>366923</xdr:colOff>
      <xdr:row>76</xdr:row>
      <xdr:rowOff>117293</xdr:rowOff>
    </xdr:to>
    <xdr:pic>
      <xdr:nvPicPr>
        <xdr:cNvPr id="6" name="Picture 5">
          <a:extLst>
            <a:ext uri="{FF2B5EF4-FFF2-40B4-BE49-F238E27FC236}">
              <a16:creationId xmlns:a16="http://schemas.microsoft.com/office/drawing/2014/main" id="{67F587DA-4FC9-456A-87D0-A7D16CC0F48C}"/>
            </a:ext>
          </a:extLst>
        </xdr:cNvPr>
        <xdr:cNvPicPr>
          <a:picLocks noChangeAspect="1"/>
        </xdr:cNvPicPr>
      </xdr:nvPicPr>
      <xdr:blipFill>
        <a:blip xmlns:r="http://schemas.openxmlformats.org/officeDocument/2006/relationships" r:embed="rId5"/>
        <a:stretch>
          <a:fillRect/>
        </a:stretch>
      </xdr:blipFill>
      <xdr:spPr>
        <a:xfrm>
          <a:off x="11182865" y="9280135"/>
          <a:ext cx="5071317" cy="5221710"/>
        </a:xfrm>
        <a:prstGeom prst="rect">
          <a:avLst/>
        </a:prstGeom>
      </xdr:spPr>
    </xdr:pic>
    <xdr:clientData/>
  </xdr:twoCellAnchor>
  <xdr:twoCellAnchor>
    <xdr:from>
      <xdr:col>14</xdr:col>
      <xdr:colOff>120442</xdr:colOff>
      <xdr:row>0</xdr:row>
      <xdr:rowOff>492539</xdr:rowOff>
    </xdr:from>
    <xdr:to>
      <xdr:col>19</xdr:col>
      <xdr:colOff>489857</xdr:colOff>
      <xdr:row>15</xdr:row>
      <xdr:rowOff>32229</xdr:rowOff>
    </xdr:to>
    <xdr:graphicFrame macro="">
      <xdr:nvGraphicFramePr>
        <xdr:cNvPr id="8" name="Chart 7">
          <a:extLst>
            <a:ext uri="{FF2B5EF4-FFF2-40B4-BE49-F238E27FC236}">
              <a16:creationId xmlns:a16="http://schemas.microsoft.com/office/drawing/2014/main" id="{B23189BD-614C-F467-972C-5802316F8E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532544</xdr:colOff>
      <xdr:row>4</xdr:row>
      <xdr:rowOff>167872</xdr:rowOff>
    </xdr:from>
    <xdr:to>
      <xdr:col>26</xdr:col>
      <xdr:colOff>388775</xdr:colOff>
      <xdr:row>19</xdr:row>
      <xdr:rowOff>6997</xdr:rowOff>
    </xdr:to>
    <xdr:graphicFrame macro="">
      <xdr:nvGraphicFramePr>
        <xdr:cNvPr id="11" name="Chart 10">
          <a:extLst>
            <a:ext uri="{FF2B5EF4-FFF2-40B4-BE49-F238E27FC236}">
              <a16:creationId xmlns:a16="http://schemas.microsoft.com/office/drawing/2014/main" id="{F8A39746-7A9F-54A4-38EF-691C9AF32B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24</xdr:col>
      <xdr:colOff>489857</xdr:colOff>
      <xdr:row>45</xdr:row>
      <xdr:rowOff>62981</xdr:rowOff>
    </xdr:from>
    <xdr:to>
      <xdr:col>32</xdr:col>
      <xdr:colOff>209938</xdr:colOff>
      <xdr:row>60</xdr:row>
      <xdr:rowOff>6998</xdr:rowOff>
    </xdr:to>
    <xdr:graphicFrame macro="">
      <xdr:nvGraphicFramePr>
        <xdr:cNvPr id="7" name="Chart 6">
          <a:extLst>
            <a:ext uri="{FF2B5EF4-FFF2-40B4-BE49-F238E27FC236}">
              <a16:creationId xmlns:a16="http://schemas.microsoft.com/office/drawing/2014/main" id="{53F94651-97AE-3BC4-CE39-74C58C230C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linkedin.com/company/lsesu-private-equity-society/" TargetMode="External"/><Relationship Id="rId1" Type="http://schemas.openxmlformats.org/officeDocument/2006/relationships/hyperlink" Target="https://www.lsepes.com/report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hyperlink" Target="javascript:void(0)" TargetMode="External"/><Relationship Id="rId7" Type="http://schemas.openxmlformats.org/officeDocument/2006/relationships/ctrlProp" Target="../ctrlProps/ctrlProp1.xml"/><Relationship Id="rId2" Type="http://schemas.openxmlformats.org/officeDocument/2006/relationships/hyperlink" Target="javascript:void(0)" TargetMode="External"/><Relationship Id="rId1" Type="http://schemas.openxmlformats.org/officeDocument/2006/relationships/hyperlink" Target="javascript:void(0)" TargetMode="External"/><Relationship Id="rId6" Type="http://schemas.openxmlformats.org/officeDocument/2006/relationships/vmlDrawing" Target="../drawings/vmlDrawing6.vml"/><Relationship Id="rId5" Type="http://schemas.openxmlformats.org/officeDocument/2006/relationships/drawing" Target="../drawings/drawing8.xml"/><Relationship Id="rId4"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FE798-C2CA-44B4-AE4A-F4F984798FF1}">
  <dimension ref="B2:O141"/>
  <sheetViews>
    <sheetView showGridLines="0" tabSelected="1" zoomScale="91" workbookViewId="0">
      <selection activeCell="B2" sqref="B2"/>
    </sheetView>
  </sheetViews>
  <sheetFormatPr defaultRowHeight="14.4" x14ac:dyDescent="0.3"/>
  <cols>
    <col min="1" max="1" width="4.77734375" customWidth="1"/>
    <col min="2" max="2" width="16.77734375" customWidth="1"/>
    <col min="3" max="14" width="11.77734375" customWidth="1"/>
  </cols>
  <sheetData>
    <row r="2" spans="2:15" ht="21" x14ac:dyDescent="0.4">
      <c r="B2" s="459" t="s">
        <v>506</v>
      </c>
      <c r="C2" s="460"/>
      <c r="D2" s="460"/>
      <c r="E2" s="460"/>
      <c r="F2" s="460"/>
      <c r="G2" s="460"/>
      <c r="H2" s="460"/>
      <c r="I2" s="460"/>
      <c r="J2" s="460"/>
      <c r="K2" s="460"/>
      <c r="L2" s="460"/>
      <c r="M2" s="460"/>
      <c r="N2" s="460"/>
      <c r="O2" t="s">
        <v>3</v>
      </c>
    </row>
    <row r="3" spans="2:15" x14ac:dyDescent="0.3">
      <c r="O3" t="s">
        <v>3</v>
      </c>
    </row>
    <row r="4" spans="2:15" x14ac:dyDescent="0.3">
      <c r="B4" s="461" t="s">
        <v>507</v>
      </c>
    </row>
    <row r="6" spans="2:15" x14ac:dyDescent="0.3">
      <c r="B6" s="462" t="s">
        <v>4</v>
      </c>
      <c r="C6" s="463"/>
      <c r="D6" s="463"/>
      <c r="F6" s="462" t="s">
        <v>508</v>
      </c>
      <c r="G6" s="463"/>
      <c r="H6" s="464" t="s">
        <v>10</v>
      </c>
      <c r="I6" s="464" t="s">
        <v>9</v>
      </c>
      <c r="K6" s="462" t="s">
        <v>509</v>
      </c>
      <c r="L6" s="463"/>
      <c r="M6" s="464" t="s">
        <v>10</v>
      </c>
      <c r="O6" t="s">
        <v>3</v>
      </c>
    </row>
    <row r="7" spans="2:15" x14ac:dyDescent="0.3">
      <c r="B7" t="s">
        <v>72</v>
      </c>
      <c r="D7" s="465">
        <v>9.5</v>
      </c>
      <c r="F7" t="s">
        <v>510</v>
      </c>
      <c r="H7" s="466">
        <f>D13</f>
        <v>40</v>
      </c>
      <c r="I7" s="467">
        <f>H7/D9</f>
        <v>0.41666666666666669</v>
      </c>
      <c r="K7" t="s">
        <v>511</v>
      </c>
      <c r="M7" s="468">
        <f>D16</f>
        <v>732</v>
      </c>
      <c r="O7" t="s">
        <v>3</v>
      </c>
    </row>
    <row r="8" spans="2:15" x14ac:dyDescent="0.3">
      <c r="B8" t="s">
        <v>15</v>
      </c>
      <c r="D8" s="465">
        <v>9.5</v>
      </c>
      <c r="F8" t="s">
        <v>512</v>
      </c>
      <c r="H8" s="469">
        <v>500</v>
      </c>
      <c r="I8" s="467">
        <f>H8/$D$9</f>
        <v>5.208333333333333</v>
      </c>
      <c r="K8" s="463" t="s">
        <v>17</v>
      </c>
      <c r="L8" s="463"/>
      <c r="M8" s="470">
        <f>D14</f>
        <v>220</v>
      </c>
      <c r="O8" t="s">
        <v>3</v>
      </c>
    </row>
    <row r="9" spans="2:15" x14ac:dyDescent="0.3">
      <c r="B9" t="s">
        <v>513</v>
      </c>
      <c r="D9" s="471">
        <v>96</v>
      </c>
      <c r="F9" s="463" t="s">
        <v>27</v>
      </c>
      <c r="G9" s="463"/>
      <c r="H9" s="472">
        <f>H10-SUM(H7:H8)</f>
        <v>412</v>
      </c>
      <c r="I9" s="473">
        <f t="shared" ref="I9" si="0">H9/$D$9</f>
        <v>4.291666666666667</v>
      </c>
      <c r="K9" t="s">
        <v>514</v>
      </c>
      <c r="M9" s="474">
        <f>SUM(M7:M8)</f>
        <v>952</v>
      </c>
      <c r="O9" t="s">
        <v>3</v>
      </c>
    </row>
    <row r="10" spans="2:15" x14ac:dyDescent="0.3">
      <c r="F10" t="s">
        <v>514</v>
      </c>
      <c r="H10" s="475">
        <f>M9</f>
        <v>952</v>
      </c>
      <c r="I10" s="467">
        <f>SUM(I7:I9)</f>
        <v>9.9166666666666679</v>
      </c>
      <c r="O10" t="s">
        <v>3</v>
      </c>
    </row>
    <row r="11" spans="2:15" x14ac:dyDescent="0.3">
      <c r="B11" s="462" t="s">
        <v>23</v>
      </c>
      <c r="C11" s="463"/>
      <c r="D11" s="463"/>
      <c r="O11" t="s">
        <v>3</v>
      </c>
    </row>
    <row r="12" spans="2:15" x14ac:dyDescent="0.3">
      <c r="B12" t="s">
        <v>28</v>
      </c>
      <c r="D12" s="471">
        <f>D9*D7</f>
        <v>912</v>
      </c>
      <c r="O12" t="s">
        <v>3</v>
      </c>
    </row>
    <row r="13" spans="2:15" x14ac:dyDescent="0.3">
      <c r="B13" t="s">
        <v>515</v>
      </c>
      <c r="D13" s="471">
        <v>40</v>
      </c>
      <c r="F13" s="462" t="s">
        <v>516</v>
      </c>
      <c r="G13" s="462"/>
      <c r="H13" s="462"/>
      <c r="I13" s="462"/>
      <c r="K13" s="462" t="s">
        <v>517</v>
      </c>
      <c r="L13" s="463"/>
      <c r="M13" s="463"/>
      <c r="O13" t="s">
        <v>3</v>
      </c>
    </row>
    <row r="14" spans="2:15" ht="15" thickBot="1" x14ac:dyDescent="0.35">
      <c r="B14" t="s">
        <v>512</v>
      </c>
      <c r="D14" s="471">
        <v>220</v>
      </c>
      <c r="F14" t="s">
        <v>518</v>
      </c>
      <c r="I14" s="476">
        <v>7.0000000000000007E-2</v>
      </c>
      <c r="O14" t="s">
        <v>3</v>
      </c>
    </row>
    <row r="15" spans="2:15" x14ac:dyDescent="0.3">
      <c r="B15" t="s">
        <v>26</v>
      </c>
      <c r="D15" s="477">
        <f>D14-D13</f>
        <v>180</v>
      </c>
      <c r="F15" t="s">
        <v>379</v>
      </c>
      <c r="I15" s="476">
        <v>0.2</v>
      </c>
      <c r="K15" s="478" t="s">
        <v>68</v>
      </c>
      <c r="L15" s="479"/>
      <c r="M15" s="480">
        <f>M77</f>
        <v>0.18160955749112939</v>
      </c>
      <c r="O15" t="s">
        <v>3</v>
      </c>
    </row>
    <row r="16" spans="2:15" ht="15" thickBot="1" x14ac:dyDescent="0.35">
      <c r="B16" t="s">
        <v>519</v>
      </c>
      <c r="D16" s="481">
        <f>D12-D15</f>
        <v>732</v>
      </c>
      <c r="F16" t="s">
        <v>520</v>
      </c>
      <c r="I16" s="476">
        <v>0.04</v>
      </c>
      <c r="K16" s="482" t="s">
        <v>69</v>
      </c>
      <c r="L16" s="483"/>
      <c r="M16" s="484">
        <f t="shared" ref="M16" si="1">M78</f>
        <v>2.3034032518611665</v>
      </c>
      <c r="O16" t="s">
        <v>3</v>
      </c>
    </row>
    <row r="17" spans="2:15" x14ac:dyDescent="0.3">
      <c r="D17" s="471"/>
      <c r="F17" t="s">
        <v>521</v>
      </c>
      <c r="I17" s="476">
        <v>2.5000000000000001E-2</v>
      </c>
      <c r="O17" t="s">
        <v>3</v>
      </c>
    </row>
    <row r="18" spans="2:15" x14ac:dyDescent="0.3">
      <c r="F18" t="s">
        <v>522</v>
      </c>
      <c r="I18" s="476">
        <v>0.09</v>
      </c>
      <c r="O18" t="s">
        <v>3</v>
      </c>
    </row>
    <row r="19" spans="2:15" x14ac:dyDescent="0.3">
      <c r="F19" t="s">
        <v>523</v>
      </c>
      <c r="I19" s="476">
        <v>0.1</v>
      </c>
      <c r="O19" t="s">
        <v>3</v>
      </c>
    </row>
    <row r="20" spans="2:15" x14ac:dyDescent="0.3">
      <c r="F20" t="s">
        <v>99</v>
      </c>
      <c r="I20" s="476">
        <v>0.2</v>
      </c>
      <c r="O20" t="s">
        <v>3</v>
      </c>
    </row>
    <row r="21" spans="2:15" x14ac:dyDescent="0.3">
      <c r="O21" t="s">
        <v>3</v>
      </c>
    </row>
    <row r="22" spans="2:15" x14ac:dyDescent="0.3">
      <c r="O22" t="s">
        <v>3</v>
      </c>
    </row>
    <row r="23" spans="2:15" x14ac:dyDescent="0.3">
      <c r="O23" t="s">
        <v>3</v>
      </c>
    </row>
    <row r="24" spans="2:15" ht="21" x14ac:dyDescent="0.4">
      <c r="B24" s="459" t="s">
        <v>374</v>
      </c>
      <c r="C24" s="460"/>
      <c r="D24" s="460"/>
      <c r="E24" s="460"/>
      <c r="F24" s="460"/>
      <c r="G24" s="460"/>
      <c r="H24" s="460"/>
      <c r="I24" s="460"/>
      <c r="J24" s="460"/>
      <c r="K24" s="460"/>
      <c r="L24" s="460"/>
      <c r="M24" s="460"/>
      <c r="N24" s="460"/>
      <c r="O24" t="s">
        <v>3</v>
      </c>
    </row>
    <row r="25" spans="2:15" x14ac:dyDescent="0.3">
      <c r="O25" t="s">
        <v>3</v>
      </c>
    </row>
    <row r="26" spans="2:15" x14ac:dyDescent="0.3">
      <c r="B26" s="461" t="s">
        <v>507</v>
      </c>
      <c r="I26" s="485">
        <v>0</v>
      </c>
      <c r="J26" s="486">
        <f>I26+1</f>
        <v>1</v>
      </c>
      <c r="K26" s="486">
        <f t="shared" ref="K26:N26" si="2">J26+1</f>
        <v>2</v>
      </c>
      <c r="L26" s="486">
        <f t="shared" si="2"/>
        <v>3</v>
      </c>
      <c r="M26" s="486">
        <f t="shared" si="2"/>
        <v>4</v>
      </c>
      <c r="N26" s="486">
        <f t="shared" si="2"/>
        <v>5</v>
      </c>
      <c r="O26" s="486" t="s">
        <v>3</v>
      </c>
    </row>
    <row r="27" spans="2:15" x14ac:dyDescent="0.3">
      <c r="O27" t="s">
        <v>3</v>
      </c>
    </row>
    <row r="28" spans="2:15" x14ac:dyDescent="0.3">
      <c r="B28" s="487" t="s">
        <v>79</v>
      </c>
      <c r="I28" s="469">
        <v>480</v>
      </c>
      <c r="J28" s="475">
        <f>(1+J29)*I28</f>
        <v>513.6</v>
      </c>
      <c r="K28" s="475">
        <f t="shared" ref="K28:N28" si="3">(1+K29)*J28</f>
        <v>549.55200000000002</v>
      </c>
      <c r="L28" s="475">
        <f t="shared" si="3"/>
        <v>588.02064000000007</v>
      </c>
      <c r="M28" s="475">
        <f t="shared" si="3"/>
        <v>629.1820848000001</v>
      </c>
      <c r="N28" s="475">
        <f t="shared" si="3"/>
        <v>673.22483073600017</v>
      </c>
      <c r="O28" t="s">
        <v>3</v>
      </c>
    </row>
    <row r="29" spans="2:15" x14ac:dyDescent="0.3">
      <c r="B29" s="488" t="s">
        <v>524</v>
      </c>
      <c r="J29" s="489">
        <f>$I$14</f>
        <v>7.0000000000000007E-2</v>
      </c>
      <c r="K29" s="489">
        <f t="shared" ref="K29:N29" si="4">$I$14</f>
        <v>7.0000000000000007E-2</v>
      </c>
      <c r="L29" s="489">
        <f t="shared" si="4"/>
        <v>7.0000000000000007E-2</v>
      </c>
      <c r="M29" s="489">
        <f t="shared" si="4"/>
        <v>7.0000000000000007E-2</v>
      </c>
      <c r="N29" s="489">
        <f t="shared" si="4"/>
        <v>7.0000000000000007E-2</v>
      </c>
      <c r="O29" t="s">
        <v>3</v>
      </c>
    </row>
    <row r="30" spans="2:15" x14ac:dyDescent="0.3">
      <c r="O30" t="s">
        <v>3</v>
      </c>
    </row>
    <row r="31" spans="2:15" x14ac:dyDescent="0.3">
      <c r="B31" s="487" t="s">
        <v>18</v>
      </c>
      <c r="I31" s="475">
        <f>D9</f>
        <v>96</v>
      </c>
      <c r="J31" s="475">
        <f>J32*J28</f>
        <v>102.72000000000001</v>
      </c>
      <c r="K31" s="475">
        <f t="shared" ref="K31:N31" si="5">K32*K28</f>
        <v>109.91040000000001</v>
      </c>
      <c r="L31" s="475">
        <f t="shared" si="5"/>
        <v>117.60412800000002</v>
      </c>
      <c r="M31" s="475">
        <f t="shared" si="5"/>
        <v>125.83641696000002</v>
      </c>
      <c r="N31" s="475">
        <f t="shared" si="5"/>
        <v>134.64496614720005</v>
      </c>
      <c r="O31" t="s">
        <v>3</v>
      </c>
    </row>
    <row r="32" spans="2:15" x14ac:dyDescent="0.3">
      <c r="B32" s="488" t="s">
        <v>525</v>
      </c>
      <c r="J32" s="489">
        <f>$I$15</f>
        <v>0.2</v>
      </c>
      <c r="K32" s="489">
        <f t="shared" ref="K32:N32" si="6">$I$15</f>
        <v>0.2</v>
      </c>
      <c r="L32" s="489">
        <f t="shared" si="6"/>
        <v>0.2</v>
      </c>
      <c r="M32" s="489">
        <f t="shared" si="6"/>
        <v>0.2</v>
      </c>
      <c r="N32" s="489">
        <f t="shared" si="6"/>
        <v>0.2</v>
      </c>
      <c r="O32" t="s">
        <v>3</v>
      </c>
    </row>
    <row r="33" spans="2:15" x14ac:dyDescent="0.3">
      <c r="O33" t="s">
        <v>3</v>
      </c>
    </row>
    <row r="34" spans="2:15" x14ac:dyDescent="0.3">
      <c r="B34" s="487" t="s">
        <v>259</v>
      </c>
      <c r="I34" s="475"/>
      <c r="J34" s="475">
        <f>-J35*J$28</f>
        <v>-12.840000000000002</v>
      </c>
      <c r="K34" s="475">
        <f t="shared" ref="K34:N34" si="7">-K35*K$28</f>
        <v>-13.738800000000001</v>
      </c>
      <c r="L34" s="475">
        <f t="shared" si="7"/>
        <v>-14.700516000000002</v>
      </c>
      <c r="M34" s="475">
        <f t="shared" si="7"/>
        <v>-15.729552120000003</v>
      </c>
      <c r="N34" s="475">
        <f t="shared" si="7"/>
        <v>-16.830620768400006</v>
      </c>
      <c r="O34" t="s">
        <v>3</v>
      </c>
    </row>
    <row r="35" spans="2:15" x14ac:dyDescent="0.3">
      <c r="B35" s="488" t="s">
        <v>525</v>
      </c>
      <c r="J35" s="489">
        <f>$I$17</f>
        <v>2.5000000000000001E-2</v>
      </c>
      <c r="K35" s="489">
        <f t="shared" ref="K35:N35" si="8">$I$17</f>
        <v>2.5000000000000001E-2</v>
      </c>
      <c r="L35" s="489">
        <f t="shared" si="8"/>
        <v>2.5000000000000001E-2</v>
      </c>
      <c r="M35" s="489">
        <f t="shared" si="8"/>
        <v>2.5000000000000001E-2</v>
      </c>
      <c r="N35" s="489">
        <f t="shared" si="8"/>
        <v>2.5000000000000001E-2</v>
      </c>
      <c r="O35" t="s">
        <v>3</v>
      </c>
    </row>
    <row r="36" spans="2:15" x14ac:dyDescent="0.3">
      <c r="O36" t="s">
        <v>3</v>
      </c>
    </row>
    <row r="37" spans="2:15" x14ac:dyDescent="0.3">
      <c r="B37" s="487" t="s">
        <v>224</v>
      </c>
      <c r="I37" s="475"/>
      <c r="J37" s="475">
        <f>J34+J31</f>
        <v>89.88000000000001</v>
      </c>
      <c r="K37" s="475">
        <f t="shared" ref="K37:N37" si="9">K34+K31</f>
        <v>96.171600000000012</v>
      </c>
      <c r="L37" s="475">
        <f t="shared" si="9"/>
        <v>102.90361200000001</v>
      </c>
      <c r="M37" s="475">
        <f t="shared" si="9"/>
        <v>110.10686484000001</v>
      </c>
      <c r="N37" s="475">
        <f t="shared" si="9"/>
        <v>117.81434537880004</v>
      </c>
      <c r="O37" t="s">
        <v>3</v>
      </c>
    </row>
    <row r="38" spans="2:15" x14ac:dyDescent="0.3">
      <c r="O38" t="s">
        <v>3</v>
      </c>
    </row>
    <row r="39" spans="2:15" x14ac:dyDescent="0.3">
      <c r="B39" s="487" t="s">
        <v>526</v>
      </c>
      <c r="I39" s="475"/>
      <c r="J39" s="475">
        <f>J65</f>
        <v>-45</v>
      </c>
      <c r="K39" s="475">
        <f t="shared" ref="K39:N39" si="10">K65</f>
        <v>-45</v>
      </c>
      <c r="L39" s="475">
        <f t="shared" si="10"/>
        <v>-45</v>
      </c>
      <c r="M39" s="475">
        <f t="shared" si="10"/>
        <v>-45</v>
      </c>
      <c r="N39" s="475">
        <f t="shared" si="10"/>
        <v>-45</v>
      </c>
      <c r="O39" t="s">
        <v>3</v>
      </c>
    </row>
    <row r="40" spans="2:15" x14ac:dyDescent="0.3">
      <c r="O40" t="s">
        <v>3</v>
      </c>
    </row>
    <row r="41" spans="2:15" x14ac:dyDescent="0.3">
      <c r="B41" s="487" t="s">
        <v>527</v>
      </c>
      <c r="E41" s="490" t="s">
        <v>99</v>
      </c>
      <c r="I41" s="475"/>
      <c r="J41" s="475">
        <f>J37+J39</f>
        <v>44.88000000000001</v>
      </c>
      <c r="K41" s="475">
        <f t="shared" ref="K41:N41" si="11">K37+K39</f>
        <v>51.171600000000012</v>
      </c>
      <c r="L41" s="475">
        <f t="shared" si="11"/>
        <v>57.90361200000001</v>
      </c>
      <c r="M41" s="475">
        <f t="shared" si="11"/>
        <v>65.106864840000014</v>
      </c>
      <c r="N41" s="475">
        <f t="shared" si="11"/>
        <v>72.814345378800041</v>
      </c>
      <c r="O41" t="s">
        <v>3</v>
      </c>
    </row>
    <row r="42" spans="2:15" x14ac:dyDescent="0.3">
      <c r="E42" s="491">
        <f>$I$20</f>
        <v>0.2</v>
      </c>
      <c r="I42" s="475"/>
      <c r="J42" s="475"/>
      <c r="K42" s="475"/>
      <c r="L42" s="475"/>
      <c r="M42" s="475"/>
      <c r="N42" s="475"/>
      <c r="O42" t="s">
        <v>3</v>
      </c>
    </row>
    <row r="43" spans="2:15" x14ac:dyDescent="0.3">
      <c r="B43" s="487" t="s">
        <v>528</v>
      </c>
      <c r="I43" s="475"/>
      <c r="J43" s="475">
        <f>-$E$42*J41</f>
        <v>-8.9760000000000026</v>
      </c>
      <c r="K43" s="475">
        <f t="shared" ref="K43:N43" si="12">-$E$42*K41</f>
        <v>-10.234320000000004</v>
      </c>
      <c r="L43" s="475">
        <f t="shared" si="12"/>
        <v>-11.580722400000003</v>
      </c>
      <c r="M43" s="475">
        <f t="shared" si="12"/>
        <v>-13.021372968000003</v>
      </c>
      <c r="N43" s="475">
        <f t="shared" si="12"/>
        <v>-14.562869075760009</v>
      </c>
      <c r="O43" t="s">
        <v>3</v>
      </c>
    </row>
    <row r="44" spans="2:15" x14ac:dyDescent="0.3">
      <c r="B44" s="487" t="s">
        <v>384</v>
      </c>
      <c r="I44" s="472"/>
      <c r="J44" s="492">
        <f>J41+J43</f>
        <v>35.904000000000011</v>
      </c>
      <c r="K44" s="492">
        <f t="shared" ref="K44:N44" si="13">K41+K43</f>
        <v>40.937280000000008</v>
      </c>
      <c r="L44" s="492">
        <f t="shared" si="13"/>
        <v>46.322889600000011</v>
      </c>
      <c r="M44" s="492">
        <f t="shared" si="13"/>
        <v>52.085491872000013</v>
      </c>
      <c r="N44" s="492">
        <f t="shared" si="13"/>
        <v>58.251476303040036</v>
      </c>
      <c r="O44" t="s">
        <v>3</v>
      </c>
    </row>
    <row r="45" spans="2:15" x14ac:dyDescent="0.3">
      <c r="O45" t="s">
        <v>3</v>
      </c>
    </row>
    <row r="46" spans="2:15" x14ac:dyDescent="0.3">
      <c r="O46" t="s">
        <v>3</v>
      </c>
    </row>
    <row r="47" spans="2:15" ht="21" x14ac:dyDescent="0.4">
      <c r="B47" s="459" t="s">
        <v>385</v>
      </c>
      <c r="C47" s="460"/>
      <c r="D47" s="460"/>
      <c r="E47" s="460"/>
      <c r="F47" s="460"/>
      <c r="G47" s="460"/>
      <c r="H47" s="460"/>
      <c r="I47" s="460"/>
      <c r="J47" s="460"/>
      <c r="K47" s="460"/>
      <c r="L47" s="460"/>
      <c r="M47" s="460"/>
      <c r="N47" s="460"/>
      <c r="O47" t="s">
        <v>3</v>
      </c>
    </row>
    <row r="48" spans="2:15" x14ac:dyDescent="0.3">
      <c r="O48" t="s">
        <v>3</v>
      </c>
    </row>
    <row r="49" spans="2:15" x14ac:dyDescent="0.3">
      <c r="B49" s="461" t="s">
        <v>507</v>
      </c>
      <c r="I49" s="485">
        <v>0</v>
      </c>
      <c r="J49" s="486">
        <f>I49+1</f>
        <v>1</v>
      </c>
      <c r="K49" s="486">
        <f t="shared" ref="K49:N49" si="14">J49+1</f>
        <v>2</v>
      </c>
      <c r="L49" s="486">
        <f t="shared" si="14"/>
        <v>3</v>
      </c>
      <c r="M49" s="486">
        <f t="shared" si="14"/>
        <v>4</v>
      </c>
      <c r="N49" s="486">
        <f t="shared" si="14"/>
        <v>5</v>
      </c>
      <c r="O49" t="s">
        <v>3</v>
      </c>
    </row>
    <row r="50" spans="2:15" x14ac:dyDescent="0.3">
      <c r="O50" t="s">
        <v>3</v>
      </c>
    </row>
    <row r="51" spans="2:15" x14ac:dyDescent="0.3">
      <c r="B51" t="s">
        <v>384</v>
      </c>
      <c r="I51" s="475"/>
      <c r="J51" s="475">
        <f>J44</f>
        <v>35.904000000000011</v>
      </c>
      <c r="K51" s="475">
        <f t="shared" ref="K51:N51" si="15">K44</f>
        <v>40.937280000000008</v>
      </c>
      <c r="L51" s="475">
        <f t="shared" si="15"/>
        <v>46.322889600000011</v>
      </c>
      <c r="M51" s="475">
        <f t="shared" si="15"/>
        <v>52.085491872000013</v>
      </c>
      <c r="N51" s="475">
        <f t="shared" si="15"/>
        <v>58.251476303040036</v>
      </c>
      <c r="O51" t="s">
        <v>3</v>
      </c>
    </row>
    <row r="52" spans="2:15" x14ac:dyDescent="0.3">
      <c r="B52" t="s">
        <v>259</v>
      </c>
      <c r="I52" s="475"/>
      <c r="J52" s="475">
        <f>-J34</f>
        <v>12.840000000000002</v>
      </c>
      <c r="K52" s="475">
        <f t="shared" ref="K52:N52" si="16">-K34</f>
        <v>13.738800000000001</v>
      </c>
      <c r="L52" s="475">
        <f t="shared" si="16"/>
        <v>14.700516000000002</v>
      </c>
      <c r="M52" s="475">
        <f t="shared" si="16"/>
        <v>15.729552120000003</v>
      </c>
      <c r="N52" s="475">
        <f t="shared" si="16"/>
        <v>16.830620768400006</v>
      </c>
      <c r="O52" t="s">
        <v>3</v>
      </c>
    </row>
    <row r="53" spans="2:15" x14ac:dyDescent="0.3">
      <c r="B53" t="s">
        <v>43</v>
      </c>
      <c r="I53" s="475"/>
      <c r="J53" s="475">
        <f>-$I$16*J28</f>
        <v>-20.544</v>
      </c>
      <c r="K53" s="475">
        <f t="shared" ref="K53:N53" si="17">-$I$16*K28</f>
        <v>-21.98208</v>
      </c>
      <c r="L53" s="475">
        <f t="shared" si="17"/>
        <v>-23.520825600000002</v>
      </c>
      <c r="M53" s="475">
        <f t="shared" si="17"/>
        <v>-25.167283392000005</v>
      </c>
      <c r="N53" s="475">
        <f t="shared" si="17"/>
        <v>-26.928993229440007</v>
      </c>
      <c r="O53" t="s">
        <v>3</v>
      </c>
    </row>
    <row r="54" spans="2:15" x14ac:dyDescent="0.3">
      <c r="B54" t="s">
        <v>529</v>
      </c>
      <c r="I54" s="475"/>
      <c r="J54" s="475">
        <f>J61</f>
        <v>-3.3600000000000065</v>
      </c>
      <c r="K54" s="475">
        <f t="shared" ref="K54:N54" si="18">K61</f>
        <v>-3.5951999999999984</v>
      </c>
      <c r="L54" s="475">
        <f t="shared" si="18"/>
        <v>-3.8468640000000036</v>
      </c>
      <c r="M54" s="475">
        <f t="shared" si="18"/>
        <v>-4.1161444800000027</v>
      </c>
      <c r="N54" s="475">
        <f t="shared" si="18"/>
        <v>-4.4042745936000145</v>
      </c>
      <c r="O54" t="s">
        <v>3</v>
      </c>
    </row>
    <row r="55" spans="2:15" x14ac:dyDescent="0.3">
      <c r="B55" s="487" t="s">
        <v>298</v>
      </c>
      <c r="I55" s="475"/>
      <c r="J55" s="492">
        <f>SUM(J51:J54)</f>
        <v>24.840000000000007</v>
      </c>
      <c r="K55" s="492">
        <f t="shared" ref="K55:N55" si="19">SUM(K51:K54)</f>
        <v>29.098800000000018</v>
      </c>
      <c r="L55" s="492">
        <f t="shared" si="19"/>
        <v>33.655716000000005</v>
      </c>
      <c r="M55" s="492">
        <f t="shared" si="19"/>
        <v>38.53161612000001</v>
      </c>
      <c r="N55" s="492">
        <f t="shared" si="19"/>
        <v>43.748829248400021</v>
      </c>
      <c r="O55" t="s">
        <v>3</v>
      </c>
    </row>
    <row r="56" spans="2:15" x14ac:dyDescent="0.3">
      <c r="B56" t="s">
        <v>530</v>
      </c>
      <c r="I56" s="463"/>
      <c r="J56" s="472">
        <f>I56+J55</f>
        <v>24.840000000000007</v>
      </c>
      <c r="K56" s="472">
        <f t="shared" ref="K56:N56" si="20">J56+K55</f>
        <v>53.938800000000029</v>
      </c>
      <c r="L56" s="472">
        <f t="shared" si="20"/>
        <v>87.594516000000027</v>
      </c>
      <c r="M56" s="472">
        <f t="shared" si="20"/>
        <v>126.12613212000004</v>
      </c>
      <c r="N56" s="472">
        <f t="shared" si="20"/>
        <v>169.87496136840005</v>
      </c>
      <c r="O56" t="s">
        <v>3</v>
      </c>
    </row>
    <row r="57" spans="2:15" x14ac:dyDescent="0.3">
      <c r="O57" t="s">
        <v>3</v>
      </c>
    </row>
    <row r="58" spans="2:15" ht="18" x14ac:dyDescent="0.35">
      <c r="B58" s="493" t="s">
        <v>531</v>
      </c>
      <c r="C58" s="494"/>
      <c r="D58" s="494"/>
      <c r="E58" s="494"/>
      <c r="F58" s="494"/>
      <c r="G58" s="494"/>
      <c r="H58" s="494"/>
      <c r="I58" s="494"/>
      <c r="J58" s="494"/>
      <c r="K58" s="494"/>
      <c r="L58" s="494"/>
      <c r="M58" s="494"/>
      <c r="N58" s="494"/>
      <c r="O58" t="s">
        <v>3</v>
      </c>
    </row>
    <row r="59" spans="2:15" x14ac:dyDescent="0.3">
      <c r="O59" t="s">
        <v>3</v>
      </c>
    </row>
    <row r="60" spans="2:15" x14ac:dyDescent="0.3">
      <c r="B60" t="s">
        <v>529</v>
      </c>
      <c r="I60" s="469">
        <v>48</v>
      </c>
      <c r="J60" s="475">
        <f>$I$19*J28</f>
        <v>51.360000000000007</v>
      </c>
      <c r="K60" s="475">
        <f t="shared" ref="K60:N60" si="21">$I$19*K28</f>
        <v>54.955200000000005</v>
      </c>
      <c r="L60" s="475">
        <f t="shared" si="21"/>
        <v>58.802064000000009</v>
      </c>
      <c r="M60" s="475">
        <f t="shared" si="21"/>
        <v>62.918208480000011</v>
      </c>
      <c r="N60" s="475">
        <f t="shared" si="21"/>
        <v>67.322483073600026</v>
      </c>
      <c r="O60" t="s">
        <v>3</v>
      </c>
    </row>
    <row r="61" spans="2:15" x14ac:dyDescent="0.3">
      <c r="B61" t="s">
        <v>388</v>
      </c>
      <c r="J61" s="492">
        <f>I60-J60</f>
        <v>-3.3600000000000065</v>
      </c>
      <c r="K61" s="492">
        <f t="shared" ref="K61:N61" si="22">J60-K60</f>
        <v>-3.5951999999999984</v>
      </c>
      <c r="L61" s="492">
        <f t="shared" si="22"/>
        <v>-3.8468640000000036</v>
      </c>
      <c r="M61" s="492">
        <f t="shared" si="22"/>
        <v>-4.1161444800000027</v>
      </c>
      <c r="N61" s="492">
        <f t="shared" si="22"/>
        <v>-4.4042745936000145</v>
      </c>
      <c r="O61" s="487" t="s">
        <v>3</v>
      </c>
    </row>
    <row r="62" spans="2:15" x14ac:dyDescent="0.3">
      <c r="O62" t="s">
        <v>3</v>
      </c>
    </row>
    <row r="63" spans="2:15" x14ac:dyDescent="0.3">
      <c r="B63" t="s">
        <v>486</v>
      </c>
      <c r="J63" s="475">
        <f>H8</f>
        <v>500</v>
      </c>
      <c r="K63" s="475">
        <f>J63</f>
        <v>500</v>
      </c>
      <c r="L63" s="475">
        <f t="shared" ref="L63:N63" si="23">K63</f>
        <v>500</v>
      </c>
      <c r="M63" s="475">
        <f t="shared" si="23"/>
        <v>500</v>
      </c>
      <c r="N63" s="475">
        <f t="shared" si="23"/>
        <v>500</v>
      </c>
      <c r="O63" t="s">
        <v>3</v>
      </c>
    </row>
    <row r="64" spans="2:15" x14ac:dyDescent="0.3">
      <c r="B64" t="s">
        <v>185</v>
      </c>
      <c r="J64" s="495">
        <f>$I$18</f>
        <v>0.09</v>
      </c>
      <c r="K64" s="495">
        <f t="shared" ref="K64:N64" si="24">$I$18</f>
        <v>0.09</v>
      </c>
      <c r="L64" s="495">
        <f t="shared" si="24"/>
        <v>0.09</v>
      </c>
      <c r="M64" s="495">
        <f t="shared" si="24"/>
        <v>0.09</v>
      </c>
      <c r="N64" s="495">
        <f t="shared" si="24"/>
        <v>0.09</v>
      </c>
      <c r="O64" t="s">
        <v>3</v>
      </c>
    </row>
    <row r="65" spans="2:15" x14ac:dyDescent="0.3">
      <c r="B65" s="487" t="s">
        <v>192</v>
      </c>
      <c r="J65" s="496">
        <f>J64*J63*-1</f>
        <v>-45</v>
      </c>
      <c r="K65" s="496">
        <f t="shared" ref="K65:N65" si="25">K64*K63*-1</f>
        <v>-45</v>
      </c>
      <c r="L65" s="496">
        <f t="shared" si="25"/>
        <v>-45</v>
      </c>
      <c r="M65" s="496">
        <f t="shared" si="25"/>
        <v>-45</v>
      </c>
      <c r="N65" s="496">
        <f t="shared" si="25"/>
        <v>-45</v>
      </c>
      <c r="O65" s="475" t="s">
        <v>3</v>
      </c>
    </row>
    <row r="66" spans="2:15" x14ac:dyDescent="0.3">
      <c r="O66" t="s">
        <v>3</v>
      </c>
    </row>
    <row r="67" spans="2:15" x14ac:dyDescent="0.3">
      <c r="B67" t="s">
        <v>532</v>
      </c>
      <c r="N67" s="492">
        <f>N63-N56</f>
        <v>330.12503863159998</v>
      </c>
      <c r="O67" t="s">
        <v>3</v>
      </c>
    </row>
    <row r="68" spans="2:15" x14ac:dyDescent="0.3">
      <c r="O68" t="s">
        <v>3</v>
      </c>
    </row>
    <row r="69" spans="2:15" x14ac:dyDescent="0.3">
      <c r="O69" t="s">
        <v>3</v>
      </c>
    </row>
    <row r="70" spans="2:15" ht="21" x14ac:dyDescent="0.4">
      <c r="B70" s="459" t="s">
        <v>533</v>
      </c>
      <c r="C70" s="460"/>
      <c r="D70" s="460"/>
      <c r="E70" s="460"/>
      <c r="F70" s="460"/>
      <c r="G70" s="460"/>
      <c r="H70" s="460"/>
      <c r="I70" s="460"/>
      <c r="J70" s="460"/>
      <c r="K70" s="460"/>
      <c r="L70" s="460"/>
      <c r="M70" s="460"/>
      <c r="N70" s="460"/>
      <c r="O70" t="s">
        <v>3</v>
      </c>
    </row>
    <row r="71" spans="2:15" x14ac:dyDescent="0.3">
      <c r="O71" t="s">
        <v>3</v>
      </c>
    </row>
    <row r="72" spans="2:15" x14ac:dyDescent="0.3">
      <c r="B72" s="462" t="s">
        <v>534</v>
      </c>
      <c r="C72" s="462"/>
      <c r="D72" s="462"/>
      <c r="E72" s="487"/>
      <c r="G72" s="462" t="s">
        <v>535</v>
      </c>
      <c r="H72" s="463"/>
      <c r="I72" s="463"/>
      <c r="K72" s="462" t="s">
        <v>536</v>
      </c>
      <c r="L72" s="463"/>
      <c r="M72" s="463"/>
      <c r="O72" t="s">
        <v>3</v>
      </c>
    </row>
    <row r="73" spans="2:15" x14ac:dyDescent="0.3">
      <c r="B73" t="s">
        <v>537</v>
      </c>
      <c r="D73" s="475">
        <f>(N31-I31)*D7</f>
        <v>367.12717839840047</v>
      </c>
      <c r="E73" s="497">
        <f>D73/$D$76</f>
        <v>0.6836605503244918</v>
      </c>
      <c r="G73" t="s">
        <v>538</v>
      </c>
      <c r="I73" s="475">
        <f>N31</f>
        <v>134.64496614720005</v>
      </c>
      <c r="K73" t="s">
        <v>539</v>
      </c>
      <c r="M73" s="475">
        <f>I79</f>
        <v>949.0021397668005</v>
      </c>
      <c r="O73" t="s">
        <v>3</v>
      </c>
    </row>
    <row r="74" spans="2:15" x14ac:dyDescent="0.3">
      <c r="B74" t="s">
        <v>540</v>
      </c>
      <c r="D74" s="475">
        <f>(D8-D7)*N31</f>
        <v>0</v>
      </c>
      <c r="E74" s="489">
        <f t="shared" ref="E74:E76" si="26">D74/$D$76</f>
        <v>0</v>
      </c>
      <c r="G74" t="s">
        <v>485</v>
      </c>
      <c r="I74" s="498">
        <f>D8</f>
        <v>9.5</v>
      </c>
      <c r="K74" t="s">
        <v>541</v>
      </c>
      <c r="M74" s="475">
        <f>H9</f>
        <v>412</v>
      </c>
      <c r="O74" t="s">
        <v>3</v>
      </c>
    </row>
    <row r="75" spans="2:15" x14ac:dyDescent="0.3">
      <c r="B75" s="463" t="s">
        <v>542</v>
      </c>
      <c r="C75" s="463"/>
      <c r="D75" s="472">
        <f>N56</f>
        <v>169.87496136840005</v>
      </c>
      <c r="E75" s="495">
        <f t="shared" si="26"/>
        <v>0.31633944967550826</v>
      </c>
      <c r="G75" t="s">
        <v>543</v>
      </c>
      <c r="I75" s="475">
        <f>I73*I74</f>
        <v>1279.1271783984005</v>
      </c>
      <c r="K75" t="s">
        <v>544</v>
      </c>
      <c r="M75" s="486">
        <f>N49</f>
        <v>5</v>
      </c>
      <c r="O75" t="s">
        <v>3</v>
      </c>
    </row>
    <row r="76" spans="2:15" ht="15" thickBot="1" x14ac:dyDescent="0.35">
      <c r="B76" t="s">
        <v>514</v>
      </c>
      <c r="D76" s="475">
        <f>SUM(D73:D75)</f>
        <v>537.0021397668005</v>
      </c>
      <c r="E76" s="489">
        <f t="shared" si="26"/>
        <v>1</v>
      </c>
      <c r="G76" t="s">
        <v>512</v>
      </c>
      <c r="I76" s="475">
        <f>N63</f>
        <v>500</v>
      </c>
      <c r="O76" t="s">
        <v>3</v>
      </c>
    </row>
    <row r="77" spans="2:15" x14ac:dyDescent="0.3">
      <c r="G77" t="s">
        <v>47</v>
      </c>
      <c r="I77" s="475">
        <f>-N56</f>
        <v>-169.87496136840005</v>
      </c>
      <c r="K77" s="478" t="s">
        <v>68</v>
      </c>
      <c r="L77" s="479"/>
      <c r="M77" s="480">
        <f>(M73/M74)^(1/M75)-1</f>
        <v>0.18160955749112939</v>
      </c>
      <c r="O77" t="s">
        <v>3</v>
      </c>
    </row>
    <row r="78" spans="2:15" ht="15" thickBot="1" x14ac:dyDescent="0.35">
      <c r="B78" t="s">
        <v>545</v>
      </c>
      <c r="D78" t="str">
        <f>IF(I79-H9=D76,"OK","Error")</f>
        <v>OK</v>
      </c>
      <c r="G78" t="s">
        <v>546</v>
      </c>
      <c r="I78" s="475">
        <f>SUM(I76:I77)</f>
        <v>330.12503863159998</v>
      </c>
      <c r="K78" s="482" t="s">
        <v>69</v>
      </c>
      <c r="L78" s="483"/>
      <c r="M78" s="484">
        <f>M73/M74</f>
        <v>2.3034032518611665</v>
      </c>
    </row>
    <row r="79" spans="2:15" x14ac:dyDescent="0.3">
      <c r="G79" s="487" t="s">
        <v>539</v>
      </c>
      <c r="H79" s="487"/>
      <c r="I79" s="492">
        <f>I75-I78</f>
        <v>949.0021397668005</v>
      </c>
      <c r="O79" t="s">
        <v>3</v>
      </c>
    </row>
    <row r="80" spans="2:15" x14ac:dyDescent="0.3">
      <c r="O80" t="s">
        <v>3</v>
      </c>
    </row>
    <row r="81" spans="2:15" x14ac:dyDescent="0.3">
      <c r="O81" t="s">
        <v>3</v>
      </c>
    </row>
    <row r="82" spans="2:15" x14ac:dyDescent="0.3">
      <c r="I82" s="475"/>
      <c r="O82" t="s">
        <v>3</v>
      </c>
    </row>
    <row r="83" spans="2:15" x14ac:dyDescent="0.3">
      <c r="O83" t="s">
        <v>3</v>
      </c>
    </row>
    <row r="84" spans="2:15" x14ac:dyDescent="0.3">
      <c r="O84" t="s">
        <v>3</v>
      </c>
    </row>
    <row r="85" spans="2:15" x14ac:dyDescent="0.3">
      <c r="O85" t="s">
        <v>3</v>
      </c>
    </row>
    <row r="86" spans="2:15" x14ac:dyDescent="0.3">
      <c r="O86" t="s">
        <v>3</v>
      </c>
    </row>
    <row r="87" spans="2:15" x14ac:dyDescent="0.3">
      <c r="B87" s="463"/>
      <c r="C87" s="463"/>
      <c r="D87" s="463"/>
      <c r="E87" s="463"/>
      <c r="F87" s="463"/>
      <c r="G87" s="463"/>
      <c r="H87" s="463"/>
      <c r="I87" s="463"/>
      <c r="J87" s="463"/>
      <c r="K87" s="463"/>
      <c r="L87" s="463"/>
      <c r="M87" s="463"/>
      <c r="N87" s="463"/>
      <c r="O87" t="s">
        <v>3</v>
      </c>
    </row>
    <row r="88" spans="2:15" x14ac:dyDescent="0.3">
      <c r="O88" t="s">
        <v>3</v>
      </c>
    </row>
    <row r="89" spans="2:15" x14ac:dyDescent="0.3">
      <c r="O89" t="s">
        <v>3</v>
      </c>
    </row>
    <row r="90" spans="2:15" x14ac:dyDescent="0.3">
      <c r="O90" t="s">
        <v>3</v>
      </c>
    </row>
    <row r="91" spans="2:15" x14ac:dyDescent="0.3">
      <c r="O91" t="s">
        <v>3</v>
      </c>
    </row>
    <row r="92" spans="2:15" x14ac:dyDescent="0.3">
      <c r="O92" t="s">
        <v>3</v>
      </c>
    </row>
    <row r="93" spans="2:15" x14ac:dyDescent="0.3">
      <c r="O93" t="s">
        <v>3</v>
      </c>
    </row>
    <row r="94" spans="2:15" x14ac:dyDescent="0.3">
      <c r="O94" t="s">
        <v>3</v>
      </c>
    </row>
    <row r="95" spans="2:15" x14ac:dyDescent="0.3">
      <c r="O95" t="s">
        <v>3</v>
      </c>
    </row>
    <row r="96" spans="2:15" x14ac:dyDescent="0.3">
      <c r="O96" t="s">
        <v>3</v>
      </c>
    </row>
    <row r="97" spans="15:15" x14ac:dyDescent="0.3">
      <c r="O97" t="s">
        <v>3</v>
      </c>
    </row>
    <row r="98" spans="15:15" x14ac:dyDescent="0.3">
      <c r="O98" t="s">
        <v>3</v>
      </c>
    </row>
    <row r="99" spans="15:15" x14ac:dyDescent="0.3">
      <c r="O99" t="s">
        <v>3</v>
      </c>
    </row>
    <row r="100" spans="15:15" x14ac:dyDescent="0.3">
      <c r="O100" t="s">
        <v>3</v>
      </c>
    </row>
    <row r="101" spans="15:15" x14ac:dyDescent="0.3">
      <c r="O101" t="s">
        <v>3</v>
      </c>
    </row>
    <row r="102" spans="15:15" x14ac:dyDescent="0.3">
      <c r="O102" t="s">
        <v>3</v>
      </c>
    </row>
    <row r="103" spans="15:15" x14ac:dyDescent="0.3">
      <c r="O103" t="s">
        <v>3</v>
      </c>
    </row>
    <row r="104" spans="15:15" x14ac:dyDescent="0.3">
      <c r="O104" t="s">
        <v>3</v>
      </c>
    </row>
    <row r="105" spans="15:15" x14ac:dyDescent="0.3">
      <c r="O105" t="s">
        <v>3</v>
      </c>
    </row>
    <row r="106" spans="15:15" x14ac:dyDescent="0.3">
      <c r="O106" t="s">
        <v>3</v>
      </c>
    </row>
    <row r="107" spans="15:15" x14ac:dyDescent="0.3">
      <c r="O107" t="s">
        <v>3</v>
      </c>
    </row>
    <row r="108" spans="15:15" x14ac:dyDescent="0.3">
      <c r="O108" t="s">
        <v>3</v>
      </c>
    </row>
    <row r="109" spans="15:15" x14ac:dyDescent="0.3">
      <c r="O109" t="s">
        <v>3</v>
      </c>
    </row>
    <row r="110" spans="15:15" x14ac:dyDescent="0.3">
      <c r="O110" t="s">
        <v>3</v>
      </c>
    </row>
    <row r="111" spans="15:15" x14ac:dyDescent="0.3">
      <c r="O111" t="s">
        <v>3</v>
      </c>
    </row>
    <row r="112" spans="15:15" x14ac:dyDescent="0.3">
      <c r="O112" t="s">
        <v>3</v>
      </c>
    </row>
    <row r="113" spans="15:15" x14ac:dyDescent="0.3">
      <c r="O113" t="s">
        <v>3</v>
      </c>
    </row>
    <row r="114" spans="15:15" x14ac:dyDescent="0.3">
      <c r="O114" t="s">
        <v>3</v>
      </c>
    </row>
    <row r="115" spans="15:15" x14ac:dyDescent="0.3">
      <c r="O115" t="s">
        <v>3</v>
      </c>
    </row>
    <row r="116" spans="15:15" x14ac:dyDescent="0.3">
      <c r="O116" t="s">
        <v>3</v>
      </c>
    </row>
    <row r="117" spans="15:15" x14ac:dyDescent="0.3">
      <c r="O117" t="s">
        <v>3</v>
      </c>
    </row>
    <row r="118" spans="15:15" x14ac:dyDescent="0.3">
      <c r="O118" t="s">
        <v>3</v>
      </c>
    </row>
    <row r="119" spans="15:15" x14ac:dyDescent="0.3">
      <c r="O119" t="s">
        <v>3</v>
      </c>
    </row>
    <row r="120" spans="15:15" x14ac:dyDescent="0.3">
      <c r="O120" t="s">
        <v>3</v>
      </c>
    </row>
    <row r="121" spans="15:15" x14ac:dyDescent="0.3">
      <c r="O121" t="s">
        <v>3</v>
      </c>
    </row>
    <row r="122" spans="15:15" x14ac:dyDescent="0.3">
      <c r="O122" t="s">
        <v>3</v>
      </c>
    </row>
    <row r="123" spans="15:15" x14ac:dyDescent="0.3">
      <c r="O123" t="s">
        <v>3</v>
      </c>
    </row>
    <row r="124" spans="15:15" x14ac:dyDescent="0.3">
      <c r="O124" t="s">
        <v>3</v>
      </c>
    </row>
    <row r="125" spans="15:15" x14ac:dyDescent="0.3">
      <c r="O125" t="s">
        <v>3</v>
      </c>
    </row>
    <row r="126" spans="15:15" x14ac:dyDescent="0.3">
      <c r="O126" t="s">
        <v>3</v>
      </c>
    </row>
    <row r="127" spans="15:15" x14ac:dyDescent="0.3">
      <c r="O127" t="s">
        <v>3</v>
      </c>
    </row>
    <row r="128" spans="15:15" x14ac:dyDescent="0.3">
      <c r="O128" t="s">
        <v>3</v>
      </c>
    </row>
    <row r="129" spans="15:15" x14ac:dyDescent="0.3">
      <c r="O129" t="s">
        <v>3</v>
      </c>
    </row>
    <row r="130" spans="15:15" x14ac:dyDescent="0.3">
      <c r="O130" t="s">
        <v>3</v>
      </c>
    </row>
    <row r="131" spans="15:15" x14ac:dyDescent="0.3">
      <c r="O131" t="s">
        <v>3</v>
      </c>
    </row>
    <row r="132" spans="15:15" x14ac:dyDescent="0.3">
      <c r="O132" t="s">
        <v>3</v>
      </c>
    </row>
    <row r="133" spans="15:15" x14ac:dyDescent="0.3">
      <c r="O133" t="s">
        <v>3</v>
      </c>
    </row>
    <row r="134" spans="15:15" x14ac:dyDescent="0.3">
      <c r="O134" t="s">
        <v>3</v>
      </c>
    </row>
    <row r="135" spans="15:15" x14ac:dyDescent="0.3">
      <c r="O135" t="s">
        <v>3</v>
      </c>
    </row>
    <row r="136" spans="15:15" x14ac:dyDescent="0.3">
      <c r="O136" t="s">
        <v>3</v>
      </c>
    </row>
    <row r="137" spans="15:15" x14ac:dyDescent="0.3">
      <c r="O137" t="s">
        <v>3</v>
      </c>
    </row>
    <row r="138" spans="15:15" x14ac:dyDescent="0.3">
      <c r="O138" t="s">
        <v>3</v>
      </c>
    </row>
    <row r="139" spans="15:15" x14ac:dyDescent="0.3">
      <c r="O139" t="s">
        <v>3</v>
      </c>
    </row>
    <row r="140" spans="15:15" x14ac:dyDescent="0.3">
      <c r="O140" t="s">
        <v>3</v>
      </c>
    </row>
    <row r="141" spans="15:15" x14ac:dyDescent="0.3">
      <c r="O141" t="s">
        <v>3</v>
      </c>
    </row>
  </sheetData>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E170A-62DF-4F61-9671-93CB65136726}">
  <dimension ref="A1:P83"/>
  <sheetViews>
    <sheetView zoomScaleNormal="100" workbookViewId="0">
      <selection sqref="A1:D1"/>
    </sheetView>
  </sheetViews>
  <sheetFormatPr defaultColWidth="8.88671875" defaultRowHeight="13.2" x14ac:dyDescent="0.25"/>
  <cols>
    <col min="1" max="1" width="48.5546875" style="50" customWidth="1"/>
    <col min="2" max="6" width="17.5546875" style="50" customWidth="1"/>
    <col min="7" max="16384" width="8.88671875" style="50"/>
  </cols>
  <sheetData>
    <row r="1" spans="1:12" ht="40.200000000000003" customHeight="1" x14ac:dyDescent="0.3">
      <c r="A1" s="515"/>
      <c r="B1" s="516"/>
      <c r="C1" s="516"/>
      <c r="D1" s="516"/>
    </row>
    <row r="2" spans="1:12" ht="30" customHeight="1" x14ac:dyDescent="0.3">
      <c r="A2" s="518" t="s">
        <v>505</v>
      </c>
      <c r="B2" s="519"/>
      <c r="C2" s="519"/>
      <c r="D2" s="519"/>
      <c r="E2" s="519"/>
      <c r="F2" s="519"/>
      <c r="G2" s="519"/>
      <c r="H2" s="519"/>
      <c r="I2" s="519"/>
      <c r="J2" s="519"/>
      <c r="K2" s="519"/>
      <c r="L2" s="519"/>
    </row>
    <row r="3" spans="1:12" x14ac:dyDescent="0.25">
      <c r="A3" s="53" t="s">
        <v>491</v>
      </c>
    </row>
    <row r="5" spans="1:12" x14ac:dyDescent="0.25">
      <c r="A5" s="53" t="s">
        <v>492</v>
      </c>
      <c r="B5" s="51"/>
    </row>
    <row r="6" spans="1:12" x14ac:dyDescent="0.25">
      <c r="A6" s="53" t="s">
        <v>493</v>
      </c>
      <c r="B6" s="51"/>
    </row>
    <row r="7" spans="1:12" x14ac:dyDescent="0.25">
      <c r="A7" s="53" t="s">
        <v>494</v>
      </c>
      <c r="B7" s="51"/>
    </row>
    <row r="8" spans="1:12" x14ac:dyDescent="0.25">
      <c r="A8" s="53" t="s">
        <v>495</v>
      </c>
      <c r="B8" s="51"/>
    </row>
    <row r="9" spans="1:12" x14ac:dyDescent="0.25">
      <c r="A9" s="53" t="s">
        <v>496</v>
      </c>
      <c r="B9" s="51"/>
    </row>
    <row r="10" spans="1:12" x14ac:dyDescent="0.25">
      <c r="A10" s="53" t="s">
        <v>498</v>
      </c>
      <c r="B10" s="51"/>
    </row>
    <row r="11" spans="1:12" x14ac:dyDescent="0.25">
      <c r="A11" s="53" t="s">
        <v>499</v>
      </c>
      <c r="B11" s="51"/>
    </row>
    <row r="12" spans="1:12" ht="15" thickBot="1" x14ac:dyDescent="0.35">
      <c r="A12" s="517"/>
      <c r="B12" s="516"/>
      <c r="C12" s="516"/>
      <c r="D12" s="516"/>
      <c r="E12" s="516"/>
    </row>
    <row r="13" spans="1:12" ht="14.4" x14ac:dyDescent="0.25">
      <c r="A13" s="49" t="s">
        <v>160</v>
      </c>
      <c r="B13" s="48" t="s">
        <v>161</v>
      </c>
      <c r="C13" s="48" t="s">
        <v>162</v>
      </c>
      <c r="D13" s="48" t="s">
        <v>163</v>
      </c>
      <c r="E13" s="48" t="s">
        <v>164</v>
      </c>
      <c r="F13" s="48" t="s">
        <v>302</v>
      </c>
    </row>
    <row r="14" spans="1:12" ht="14.4" x14ac:dyDescent="0.25">
      <c r="A14" s="53" t="s">
        <v>3</v>
      </c>
      <c r="B14" s="54" t="s">
        <v>166</v>
      </c>
      <c r="C14" s="54" t="s">
        <v>166</v>
      </c>
      <c r="D14" s="54" t="s">
        <v>166</v>
      </c>
      <c r="E14" s="54" t="s">
        <v>166</v>
      </c>
      <c r="F14" s="59" t="s">
        <v>166</v>
      </c>
    </row>
    <row r="15" spans="1:12" ht="14.4" x14ac:dyDescent="0.25">
      <c r="A15" s="53" t="s">
        <v>167</v>
      </c>
      <c r="B15" s="57">
        <v>44196</v>
      </c>
      <c r="C15" s="57">
        <v>44561</v>
      </c>
      <c r="D15" s="57">
        <v>44926</v>
      </c>
      <c r="E15" s="57">
        <v>45291</v>
      </c>
      <c r="F15" s="60">
        <v>45565</v>
      </c>
    </row>
    <row r="16" spans="1:12" ht="14.4" x14ac:dyDescent="0.25">
      <c r="A16" s="53" t="s">
        <v>168</v>
      </c>
      <c r="B16" s="57">
        <v>44270</v>
      </c>
      <c r="C16" s="57">
        <v>44634</v>
      </c>
      <c r="D16" s="57">
        <v>45005</v>
      </c>
      <c r="E16" s="57">
        <v>45378</v>
      </c>
      <c r="F16" s="60">
        <v>45603</v>
      </c>
    </row>
    <row r="17" spans="1:16" ht="14.4" x14ac:dyDescent="0.25">
      <c r="A17" s="53" t="s">
        <v>171</v>
      </c>
      <c r="B17" s="54" t="s">
        <v>172</v>
      </c>
      <c r="C17" s="54" t="s">
        <v>172</v>
      </c>
      <c r="D17" s="54" t="s">
        <v>172</v>
      </c>
      <c r="E17" s="54" t="s">
        <v>172</v>
      </c>
      <c r="F17" s="59" t="s">
        <v>172</v>
      </c>
    </row>
    <row r="18" spans="1:16" ht="14.4" x14ac:dyDescent="0.25">
      <c r="A18" s="53" t="s">
        <v>3</v>
      </c>
      <c r="B18" s="54"/>
      <c r="C18" s="54"/>
      <c r="D18" s="54"/>
      <c r="E18" s="54"/>
      <c r="F18" s="59"/>
    </row>
    <row r="19" spans="1:16" ht="14.4" x14ac:dyDescent="0.25">
      <c r="A19" s="55" t="s">
        <v>305</v>
      </c>
      <c r="B19" s="54"/>
      <c r="C19" s="54"/>
      <c r="D19" s="54"/>
      <c r="E19" s="54"/>
      <c r="F19" s="59"/>
    </row>
    <row r="20" spans="1:16" ht="14.4" x14ac:dyDescent="0.25">
      <c r="A20" s="53" t="s">
        <v>307</v>
      </c>
      <c r="B20" s="52">
        <v>38330</v>
      </c>
      <c r="C20" s="52">
        <v>40351</v>
      </c>
      <c r="D20" s="52">
        <v>32736</v>
      </c>
      <c r="E20" s="52">
        <v>35324</v>
      </c>
      <c r="F20" s="61">
        <v>34970</v>
      </c>
    </row>
    <row r="21" spans="1:16" ht="14.4" x14ac:dyDescent="0.25">
      <c r="A21" s="53" t="s">
        <v>308</v>
      </c>
      <c r="B21" s="52">
        <v>6000</v>
      </c>
      <c r="C21" s="52">
        <v>5000</v>
      </c>
      <c r="D21" s="52">
        <v>8500</v>
      </c>
      <c r="E21" s="52">
        <v>8100</v>
      </c>
      <c r="F21" s="61">
        <v>2500</v>
      </c>
    </row>
    <row r="22" spans="1:16" ht="14.4" x14ac:dyDescent="0.25">
      <c r="A22" s="53" t="s">
        <v>309</v>
      </c>
      <c r="B22" s="52">
        <v>44330</v>
      </c>
      <c r="C22" s="52">
        <v>45351</v>
      </c>
      <c r="D22" s="52">
        <v>41236</v>
      </c>
      <c r="E22" s="52">
        <v>43424</v>
      </c>
      <c r="F22" s="61">
        <v>37470</v>
      </c>
      <c r="H22" s="50">
        <f>F22*-1+F64</f>
        <v>11834</v>
      </c>
    </row>
    <row r="23" spans="1:16" ht="14.4" x14ac:dyDescent="0.25">
      <c r="A23" s="53" t="s">
        <v>310</v>
      </c>
      <c r="B23" s="52">
        <v>52644</v>
      </c>
      <c r="C23" s="52">
        <v>57150</v>
      </c>
      <c r="D23" s="52">
        <v>56521</v>
      </c>
      <c r="E23" s="52">
        <v>62594</v>
      </c>
      <c r="F23" s="61">
        <v>63985</v>
      </c>
      <c r="H23" s="63">
        <f>SUM(F39,F38,F43)</f>
        <v>49304</v>
      </c>
    </row>
    <row r="24" spans="1:16" ht="14.4" x14ac:dyDescent="0.25">
      <c r="A24" s="53" t="s">
        <v>311</v>
      </c>
      <c r="B24" s="52">
        <v>52644</v>
      </c>
      <c r="C24" s="52">
        <v>57150</v>
      </c>
      <c r="D24" s="52">
        <v>56521</v>
      </c>
      <c r="E24" s="52">
        <v>62594</v>
      </c>
      <c r="F24" s="61">
        <v>63985</v>
      </c>
      <c r="H24" s="63">
        <f>H23-F22</f>
        <v>11834</v>
      </c>
    </row>
    <row r="25" spans="1:16" ht="14.4" x14ac:dyDescent="0.25">
      <c r="A25" s="53" t="s">
        <v>312</v>
      </c>
      <c r="B25" s="52">
        <v>5525</v>
      </c>
      <c r="C25" s="52">
        <v>4449</v>
      </c>
      <c r="D25" s="52">
        <v>5550</v>
      </c>
      <c r="E25" s="52">
        <v>5919</v>
      </c>
      <c r="F25" s="61">
        <v>4815</v>
      </c>
    </row>
    <row r="26" spans="1:16" ht="14.4" x14ac:dyDescent="0.25">
      <c r="A26" s="53" t="s">
        <v>313</v>
      </c>
      <c r="B26" s="52">
        <v>2864</v>
      </c>
      <c r="C26" s="52">
        <v>4178</v>
      </c>
      <c r="D26" s="52">
        <v>9423</v>
      </c>
      <c r="E26" s="52">
        <v>11216</v>
      </c>
      <c r="F26" s="61">
        <v>10815</v>
      </c>
    </row>
    <row r="27" spans="1:16" ht="14.4" x14ac:dyDescent="0.25">
      <c r="A27" s="53" t="s">
        <v>314</v>
      </c>
      <c r="B27" s="52">
        <v>105363</v>
      </c>
      <c r="C27" s="52">
        <v>111128</v>
      </c>
      <c r="D27" s="52">
        <v>112730</v>
      </c>
      <c r="E27" s="52">
        <v>123153</v>
      </c>
      <c r="F27" s="61">
        <v>117085</v>
      </c>
    </row>
    <row r="28" spans="1:16" x14ac:dyDescent="0.25">
      <c r="A28" s="55" t="s">
        <v>315</v>
      </c>
      <c r="B28" s="58">
        <v>89928</v>
      </c>
      <c r="C28" s="58">
        <v>90344</v>
      </c>
      <c r="D28" s="58">
        <v>99160</v>
      </c>
      <c r="E28" s="58">
        <v>104163</v>
      </c>
      <c r="F28" s="64">
        <v>102158</v>
      </c>
    </row>
    <row r="29" spans="1:16" ht="14.4" x14ac:dyDescent="0.3">
      <c r="A29" s="53" t="s">
        <v>316</v>
      </c>
      <c r="B29" s="52">
        <v>31636</v>
      </c>
      <c r="C29" s="52">
        <v>19926</v>
      </c>
      <c r="D29" s="52">
        <v>20064</v>
      </c>
      <c r="E29" s="52">
        <v>20766</v>
      </c>
      <c r="F29" s="61">
        <v>23294</v>
      </c>
      <c r="H29" s="50">
        <f>'Income Statement'!F37/'Balance Sheet'!F29</f>
        <v>2.0606164677599383E-2</v>
      </c>
      <c r="J29" s="66"/>
      <c r="K29" s="66"/>
      <c r="L29" s="66"/>
      <c r="M29" s="66"/>
      <c r="N29" s="66"/>
      <c r="O29" s="66"/>
      <c r="P29" s="66"/>
    </row>
    <row r="30" spans="1:16" ht="15.6" x14ac:dyDescent="0.3">
      <c r="A30" s="53" t="s">
        <v>317</v>
      </c>
      <c r="B30" s="52">
        <v>444</v>
      </c>
      <c r="C30" s="52">
        <v>385</v>
      </c>
      <c r="D30" s="52">
        <v>336</v>
      </c>
      <c r="E30" s="52">
        <v>272</v>
      </c>
      <c r="F30" s="61">
        <v>224</v>
      </c>
      <c r="J30" s="66"/>
      <c r="K30"/>
      <c r="L30" s="443" t="s">
        <v>65</v>
      </c>
      <c r="M30" s="442"/>
      <c r="N30" s="442"/>
      <c r="O30"/>
      <c r="P30" s="66"/>
    </row>
    <row r="31" spans="1:16" ht="14.4" x14ac:dyDescent="0.3">
      <c r="A31" s="53" t="s">
        <v>318</v>
      </c>
      <c r="B31" s="52">
        <v>4261</v>
      </c>
      <c r="C31" s="52">
        <v>4162</v>
      </c>
      <c r="D31" s="52">
        <v>5090</v>
      </c>
      <c r="E31" s="52">
        <v>5272</v>
      </c>
      <c r="F31" s="61">
        <v>5045</v>
      </c>
      <c r="J31" s="66"/>
      <c r="K31" s="66"/>
      <c r="L31" s="66"/>
      <c r="M31" s="66"/>
      <c r="N31" s="66"/>
      <c r="O31" s="66"/>
      <c r="P31" s="66"/>
    </row>
    <row r="32" spans="1:16" ht="14.4" x14ac:dyDescent="0.3">
      <c r="A32" s="53" t="s">
        <v>319</v>
      </c>
      <c r="B32" s="52">
        <v>2903</v>
      </c>
      <c r="C32" s="52">
        <v>2968</v>
      </c>
      <c r="D32" s="52">
        <v>3454</v>
      </c>
      <c r="E32" s="52">
        <v>3968</v>
      </c>
      <c r="F32" s="61">
        <v>3994</v>
      </c>
      <c r="J32" s="66"/>
      <c r="K32" s="66"/>
      <c r="L32" s="411" t="s">
        <v>66</v>
      </c>
      <c r="M32" s="441"/>
      <c r="N32" s="441"/>
      <c r="O32" s="66"/>
      <c r="P32" s="66"/>
    </row>
    <row r="33" spans="1:16" ht="14.4" x14ac:dyDescent="0.3">
      <c r="A33" s="53" t="s">
        <v>320</v>
      </c>
      <c r="B33" s="52">
        <v>2</v>
      </c>
      <c r="C33" s="52">
        <v>2</v>
      </c>
      <c r="D33" s="52">
        <v>1</v>
      </c>
      <c r="E33" s="52">
        <v>2</v>
      </c>
      <c r="F33" s="61">
        <v>2</v>
      </c>
      <c r="J33" s="66"/>
      <c r="K33" s="419">
        <f>'FS Outputs'!I102</f>
        <v>0</v>
      </c>
      <c r="L33" s="416">
        <f>M33-'FS Outputs'!$B$75</f>
        <v>6.25</v>
      </c>
      <c r="M33" s="417">
        <v>6.75</v>
      </c>
      <c r="N33" s="418">
        <f>M33+'FS Outputs'!$B$75</f>
        <v>7.25</v>
      </c>
      <c r="O33"/>
      <c r="P33" s="66"/>
    </row>
    <row r="34" spans="1:16" ht="14.4" x14ac:dyDescent="0.3">
      <c r="A34" s="53" t="s">
        <v>321</v>
      </c>
      <c r="B34" s="52">
        <v>234537</v>
      </c>
      <c r="C34" s="52">
        <v>228915</v>
      </c>
      <c r="D34" s="52">
        <v>240835</v>
      </c>
      <c r="E34" s="52">
        <v>257596</v>
      </c>
      <c r="F34" s="61">
        <v>251802</v>
      </c>
      <c r="J34" s="505" t="s">
        <v>70</v>
      </c>
      <c r="K34" s="414">
        <f>K35-'FS Outputs'!$B$75</f>
        <v>3.75</v>
      </c>
      <c r="L34" s="435">
        <v>0.2382599294185638</v>
      </c>
      <c r="M34" s="436">
        <v>0.24796267151832585</v>
      </c>
      <c r="N34" s="424">
        <v>0.25864074826240535</v>
      </c>
      <c r="O34"/>
      <c r="P34" s="66"/>
    </row>
    <row r="35" spans="1:16" ht="14.4" x14ac:dyDescent="0.3">
      <c r="A35" s="55" t="s">
        <v>322</v>
      </c>
      <c r="B35" s="54"/>
      <c r="C35" s="54"/>
      <c r="D35" s="54"/>
      <c r="E35" s="54"/>
      <c r="F35" s="59"/>
      <c r="J35" s="505"/>
      <c r="K35" s="414">
        <f>K36-'FS Outputs'!$B$75</f>
        <v>4.25</v>
      </c>
      <c r="L35" s="437">
        <v>0.24789696335792544</v>
      </c>
      <c r="M35" s="438">
        <v>0.25857303738594051</v>
      </c>
      <c r="N35" s="439">
        <v>0.27039244771003734</v>
      </c>
      <c r="O35"/>
      <c r="P35" s="66"/>
    </row>
    <row r="36" spans="1:16" ht="14.4" x14ac:dyDescent="0.3">
      <c r="A36" s="53" t="s">
        <v>154</v>
      </c>
      <c r="B36" s="52">
        <v>12519</v>
      </c>
      <c r="C36" s="52">
        <v>12947</v>
      </c>
      <c r="D36" s="52">
        <v>14083</v>
      </c>
      <c r="E36" s="52">
        <v>13664</v>
      </c>
      <c r="F36" s="61">
        <v>13499</v>
      </c>
      <c r="J36" s="505"/>
      <c r="K36" s="415">
        <v>4.75</v>
      </c>
      <c r="L36" s="437">
        <v>0.25850530266761784</v>
      </c>
      <c r="M36" s="440">
        <v>0.27032255530357363</v>
      </c>
      <c r="N36" s="439">
        <v>0.28349570631980903</v>
      </c>
      <c r="O36"/>
      <c r="P36" s="66"/>
    </row>
    <row r="37" spans="1:16" ht="14.4" x14ac:dyDescent="0.3">
      <c r="A37" s="53" t="s">
        <v>323</v>
      </c>
      <c r="B37" s="52">
        <v>11071</v>
      </c>
      <c r="C37" s="52">
        <v>12250</v>
      </c>
      <c r="D37" s="52">
        <v>13259</v>
      </c>
      <c r="E37" s="52">
        <v>17463</v>
      </c>
      <c r="F37" s="61">
        <v>20185</v>
      </c>
      <c r="J37" s="505"/>
      <c r="K37" s="414">
        <f>K36+'FS Outputs'!$B$75</f>
        <v>5.25</v>
      </c>
      <c r="L37" s="437">
        <v>0.27025265097618101</v>
      </c>
      <c r="M37" s="438">
        <v>0.28342269062995906</v>
      </c>
      <c r="N37" s="439">
        <v>0.29821920990943906</v>
      </c>
      <c r="O37"/>
      <c r="P37" s="66"/>
    </row>
    <row r="38" spans="1:16" ht="14.4" x14ac:dyDescent="0.3">
      <c r="A38" s="53" t="s">
        <v>324</v>
      </c>
      <c r="B38" s="52">
        <v>20725</v>
      </c>
      <c r="C38" s="52">
        <v>4738</v>
      </c>
      <c r="D38" s="52">
        <v>12141</v>
      </c>
      <c r="E38" s="52">
        <v>51245</v>
      </c>
      <c r="F38" s="61">
        <v>40580</v>
      </c>
      <c r="J38" s="505"/>
      <c r="K38" s="414">
        <f>K37+'FS Outputs'!$B$75</f>
        <v>5.75</v>
      </c>
      <c r="L38" s="422">
        <v>0.28335042595863347</v>
      </c>
      <c r="M38" s="423">
        <v>0.29814485907554633</v>
      </c>
      <c r="N38" s="426">
        <v>0.31492047905921938</v>
      </c>
      <c r="O38"/>
      <c r="P38" s="66"/>
    </row>
    <row r="39" spans="1:16" ht="14.4" x14ac:dyDescent="0.3">
      <c r="A39" s="53" t="s">
        <v>325</v>
      </c>
      <c r="B39" s="52">
        <v>3431</v>
      </c>
      <c r="C39" s="52">
        <v>14724</v>
      </c>
      <c r="D39" s="52">
        <v>5714</v>
      </c>
      <c r="E39" s="52">
        <v>259</v>
      </c>
      <c r="F39" s="61">
        <v>8560</v>
      </c>
      <c r="J39" s="66"/>
      <c r="K39" s="66"/>
      <c r="L39" s="66"/>
      <c r="M39" s="66"/>
      <c r="N39" s="66"/>
      <c r="O39"/>
      <c r="P39" s="66"/>
    </row>
    <row r="40" spans="1:16" ht="14.4" x14ac:dyDescent="0.3">
      <c r="A40" s="53" t="s">
        <v>326</v>
      </c>
      <c r="B40" s="52">
        <v>3155</v>
      </c>
      <c r="C40" s="52">
        <v>5247</v>
      </c>
      <c r="D40" s="52">
        <v>2828</v>
      </c>
      <c r="E40" s="52">
        <v>5789</v>
      </c>
      <c r="F40" s="61">
        <v>4856</v>
      </c>
      <c r="J40" s="66"/>
      <c r="K40" s="66"/>
      <c r="L40" s="66"/>
      <c r="M40" s="66"/>
      <c r="N40" s="66"/>
      <c r="O40" s="66"/>
      <c r="P40" s="66"/>
    </row>
    <row r="41" spans="1:16" ht="14.4" x14ac:dyDescent="0.3">
      <c r="A41" s="53" t="s">
        <v>327</v>
      </c>
      <c r="B41" s="52">
        <v>17850</v>
      </c>
      <c r="C41" s="52">
        <v>18112</v>
      </c>
      <c r="D41" s="52">
        <v>23920</v>
      </c>
      <c r="E41" s="52">
        <v>24320</v>
      </c>
      <c r="F41" s="61">
        <v>20796</v>
      </c>
      <c r="J41" s="66"/>
      <c r="K41" s="66"/>
      <c r="L41" s="66"/>
      <c r="M41" s="66"/>
      <c r="N41" s="66"/>
      <c r="O41" s="66"/>
      <c r="P41" s="66"/>
    </row>
    <row r="42" spans="1:16" ht="14.4" x14ac:dyDescent="0.3">
      <c r="A42" s="53" t="s">
        <v>328</v>
      </c>
      <c r="B42" s="52">
        <v>68751</v>
      </c>
      <c r="C42" s="52">
        <v>68018</v>
      </c>
      <c r="D42" s="52">
        <v>71945</v>
      </c>
      <c r="E42" s="52">
        <v>112740</v>
      </c>
      <c r="F42" s="61">
        <v>108476</v>
      </c>
      <c r="J42" s="66"/>
      <c r="K42" s="66"/>
      <c r="L42" s="66"/>
      <c r="M42" s="66"/>
      <c r="N42" s="66"/>
      <c r="O42" s="66"/>
      <c r="P42" s="66"/>
    </row>
    <row r="43" spans="1:16" ht="14.4" x14ac:dyDescent="0.3">
      <c r="A43" s="53" t="s">
        <v>329</v>
      </c>
      <c r="B43" s="52">
        <v>20515</v>
      </c>
      <c r="C43" s="52">
        <v>9366</v>
      </c>
      <c r="D43" s="52">
        <v>8783</v>
      </c>
      <c r="E43" s="52">
        <v>8524</v>
      </c>
      <c r="F43" s="61">
        <v>164</v>
      </c>
      <c r="J43" s="66"/>
      <c r="K43" s="66"/>
      <c r="L43" s="66"/>
      <c r="M43" s="66"/>
      <c r="N43" s="66"/>
      <c r="O43" s="66"/>
      <c r="P43" s="66"/>
    </row>
    <row r="44" spans="1:16" ht="14.4" x14ac:dyDescent="0.3">
      <c r="A44" s="53" t="s">
        <v>330</v>
      </c>
      <c r="B44" s="52">
        <v>6414</v>
      </c>
      <c r="C44" s="52">
        <v>6324</v>
      </c>
      <c r="D44" s="52">
        <v>4914</v>
      </c>
      <c r="E44" s="52">
        <v>4962</v>
      </c>
      <c r="F44" s="61">
        <v>4951</v>
      </c>
      <c r="J44" s="66"/>
      <c r="K44" s="66"/>
      <c r="L44" s="66"/>
      <c r="M44" s="66"/>
      <c r="N44" s="66"/>
      <c r="O44" s="66"/>
      <c r="P44" s="66"/>
    </row>
    <row r="45" spans="1:16" ht="14.4" x14ac:dyDescent="0.3">
      <c r="A45" s="53" t="s">
        <v>331</v>
      </c>
      <c r="B45" s="52">
        <v>1516</v>
      </c>
      <c r="C45" s="54" t="s">
        <v>244</v>
      </c>
      <c r="D45" s="54" t="s">
        <v>244</v>
      </c>
      <c r="E45" s="54" t="s">
        <v>244</v>
      </c>
      <c r="F45" s="61">
        <v>2355</v>
      </c>
      <c r="J45" s="66"/>
      <c r="K45" s="66"/>
      <c r="L45" s="66"/>
      <c r="M45" s="66"/>
      <c r="N45" s="66"/>
      <c r="O45" s="66"/>
      <c r="P45" s="66"/>
    </row>
    <row r="46" spans="1:16" ht="14.4" x14ac:dyDescent="0.3">
      <c r="A46" s="53" t="s">
        <v>332</v>
      </c>
      <c r="B46" s="52">
        <v>2179</v>
      </c>
      <c r="C46" s="52">
        <v>2240</v>
      </c>
      <c r="D46" s="52">
        <v>2449</v>
      </c>
      <c r="E46" s="52">
        <v>2450</v>
      </c>
      <c r="F46" s="61">
        <v>115946</v>
      </c>
      <c r="J46" s="66"/>
      <c r="K46" s="66"/>
      <c r="L46" s="66"/>
      <c r="M46" s="66"/>
      <c r="N46" s="66"/>
      <c r="O46" s="66"/>
      <c r="P46" s="66"/>
    </row>
    <row r="47" spans="1:16" ht="14.4" x14ac:dyDescent="0.3">
      <c r="A47" s="53" t="s">
        <v>333</v>
      </c>
      <c r="B47" s="52">
        <v>99375</v>
      </c>
      <c r="C47" s="52">
        <v>85948</v>
      </c>
      <c r="D47" s="52">
        <v>88091</v>
      </c>
      <c r="E47" s="52">
        <v>128676</v>
      </c>
      <c r="F47" s="59"/>
      <c r="J47" s="66"/>
      <c r="K47" s="66"/>
      <c r="L47" s="66"/>
      <c r="M47" s="66"/>
      <c r="N47" s="66"/>
      <c r="O47" s="66"/>
      <c r="P47" s="66"/>
    </row>
    <row r="48" spans="1:16" ht="14.4" x14ac:dyDescent="0.3">
      <c r="A48" s="55" t="s">
        <v>334</v>
      </c>
      <c r="B48" s="54"/>
      <c r="C48" s="54"/>
      <c r="D48" s="54"/>
      <c r="E48" s="54"/>
      <c r="J48" s="66"/>
      <c r="K48" s="66"/>
      <c r="L48" s="66"/>
      <c r="M48" s="66"/>
      <c r="N48" s="66"/>
      <c r="O48" s="66"/>
      <c r="P48" s="66"/>
    </row>
    <row r="49" spans="1:16" ht="14.4" x14ac:dyDescent="0.3">
      <c r="A49" s="53" t="s">
        <v>335</v>
      </c>
      <c r="B49" s="52">
        <v>26200</v>
      </c>
      <c r="C49" s="52">
        <v>26200</v>
      </c>
      <c r="D49" s="52">
        <v>26200</v>
      </c>
      <c r="E49" s="52">
        <v>26200</v>
      </c>
      <c r="F49" s="61">
        <v>26200</v>
      </c>
      <c r="J49" s="66"/>
      <c r="K49" s="66"/>
      <c r="L49" s="66"/>
      <c r="M49" s="66"/>
      <c r="N49" s="66"/>
      <c r="O49" s="66"/>
      <c r="P49" s="66"/>
    </row>
    <row r="50" spans="1:16" ht="14.4" x14ac:dyDescent="0.3">
      <c r="A50" s="53" t="s">
        <v>336</v>
      </c>
      <c r="B50" s="52">
        <v>28808</v>
      </c>
      <c r="C50" s="52">
        <v>28979</v>
      </c>
      <c r="D50" s="52">
        <v>29089</v>
      </c>
      <c r="E50" s="52">
        <v>9688</v>
      </c>
      <c r="F50" s="61">
        <v>6978</v>
      </c>
      <c r="J50" s="66"/>
      <c r="K50" s="66"/>
      <c r="L50" s="66"/>
      <c r="M50" s="66"/>
      <c r="N50" s="66"/>
      <c r="O50" s="66"/>
      <c r="P50" s="66"/>
    </row>
    <row r="51" spans="1:16" ht="14.4" x14ac:dyDescent="0.3">
      <c r="A51" s="53" t="s">
        <v>337</v>
      </c>
      <c r="B51" s="52">
        <v>74868</v>
      </c>
      <c r="C51" s="52">
        <v>82645</v>
      </c>
      <c r="D51" s="52">
        <v>91020</v>
      </c>
      <c r="E51" s="52">
        <v>98283</v>
      </c>
      <c r="F51" s="61">
        <v>108736</v>
      </c>
      <c r="J51" s="66"/>
      <c r="K51" s="66"/>
      <c r="L51" s="66"/>
      <c r="M51" s="66"/>
      <c r="N51" s="66"/>
      <c r="O51" s="66"/>
      <c r="P51" s="66"/>
    </row>
    <row r="52" spans="1:16" ht="14.4" x14ac:dyDescent="0.3">
      <c r="A52" s="53" t="s">
        <v>338</v>
      </c>
      <c r="B52" s="52">
        <v>-4868</v>
      </c>
      <c r="C52" s="52">
        <v>-4748</v>
      </c>
      <c r="D52" s="52">
        <v>-4593</v>
      </c>
      <c r="E52" s="52">
        <v>-4453</v>
      </c>
      <c r="F52" s="61">
        <v>-4297</v>
      </c>
      <c r="J52" s="66"/>
      <c r="K52" s="66"/>
      <c r="L52" s="66"/>
      <c r="M52" s="66"/>
      <c r="N52" s="66"/>
      <c r="O52" s="66"/>
      <c r="P52" s="66"/>
    </row>
    <row r="53" spans="1:16" ht="14.4" x14ac:dyDescent="0.3">
      <c r="A53" s="53" t="s">
        <v>339</v>
      </c>
      <c r="B53" s="52">
        <v>-5459</v>
      </c>
      <c r="C53" s="52">
        <v>-7409</v>
      </c>
      <c r="D53" s="52">
        <v>-7021</v>
      </c>
      <c r="E53" s="52">
        <v>-5371</v>
      </c>
      <c r="F53" s="61">
        <v>-3863</v>
      </c>
      <c r="J53" s="66"/>
      <c r="K53" s="66"/>
      <c r="L53" s="66"/>
      <c r="M53" s="66"/>
      <c r="N53" s="66"/>
      <c r="O53" s="66"/>
      <c r="P53" s="66"/>
    </row>
    <row r="54" spans="1:16" ht="14.4" x14ac:dyDescent="0.3">
      <c r="A54" s="53" t="s">
        <v>340</v>
      </c>
      <c r="B54" s="52">
        <v>119549</v>
      </c>
      <c r="C54" s="52">
        <v>125667</v>
      </c>
      <c r="D54" s="52">
        <v>134695</v>
      </c>
      <c r="E54" s="52">
        <v>124347</v>
      </c>
      <c r="F54" s="61">
        <v>133754</v>
      </c>
      <c r="J54" s="66"/>
      <c r="K54" s="66"/>
      <c r="L54" s="66"/>
      <c r="M54" s="66"/>
      <c r="N54" s="66"/>
      <c r="O54" s="66"/>
      <c r="P54" s="66"/>
    </row>
    <row r="55" spans="1:16" ht="14.4" x14ac:dyDescent="0.3">
      <c r="A55" s="53" t="s">
        <v>341</v>
      </c>
      <c r="B55" s="52">
        <v>15613</v>
      </c>
      <c r="C55" s="52">
        <v>17300</v>
      </c>
      <c r="D55" s="52">
        <v>18049</v>
      </c>
      <c r="E55" s="52">
        <v>4573</v>
      </c>
      <c r="F55" s="61">
        <v>2102</v>
      </c>
      <c r="J55" s="66"/>
      <c r="K55" s="66"/>
      <c r="L55" s="66"/>
      <c r="M55" s="66"/>
      <c r="N55" s="66"/>
      <c r="O55" s="66"/>
      <c r="P55" s="66"/>
    </row>
    <row r="56" spans="1:16" ht="14.4" x14ac:dyDescent="0.3">
      <c r="A56" s="53" t="s">
        <v>342</v>
      </c>
      <c r="B56" s="52">
        <v>135162</v>
      </c>
      <c r="C56" s="52">
        <v>142967</v>
      </c>
      <c r="D56" s="52">
        <v>152744</v>
      </c>
      <c r="E56" s="52">
        <v>128920</v>
      </c>
      <c r="F56" s="61">
        <v>135856</v>
      </c>
      <c r="J56" s="66"/>
      <c r="K56" s="66"/>
      <c r="L56" s="66"/>
      <c r="M56" s="66"/>
      <c r="N56" s="66"/>
      <c r="O56" s="66"/>
      <c r="P56" s="66"/>
    </row>
    <row r="57" spans="1:16" ht="14.4" x14ac:dyDescent="0.3">
      <c r="A57" s="53" t="s">
        <v>343</v>
      </c>
      <c r="B57" s="52">
        <v>234537</v>
      </c>
      <c r="C57" s="52">
        <v>228915</v>
      </c>
      <c r="D57" s="52">
        <v>240835</v>
      </c>
      <c r="E57" s="52">
        <v>257596</v>
      </c>
      <c r="F57" s="61">
        <v>251802</v>
      </c>
      <c r="G57" s="63">
        <f>SUM(F38:F39,F43)</f>
        <v>49304</v>
      </c>
      <c r="J57" s="66"/>
      <c r="K57" s="66"/>
      <c r="L57" s="66"/>
      <c r="M57" s="66"/>
      <c r="N57" s="66"/>
      <c r="O57" s="66"/>
      <c r="P57" s="66"/>
    </row>
    <row r="58" spans="1:16" ht="14.4" x14ac:dyDescent="0.3">
      <c r="A58" s="55" t="s">
        <v>344</v>
      </c>
      <c r="B58" s="54"/>
      <c r="C58" s="54"/>
      <c r="D58" s="54"/>
      <c r="E58" s="54"/>
      <c r="J58" s="66"/>
      <c r="K58" s="66"/>
      <c r="L58" s="66"/>
      <c r="M58" s="66"/>
      <c r="N58" s="66"/>
      <c r="O58" s="66"/>
      <c r="P58" s="66"/>
    </row>
    <row r="59" spans="1:16" ht="14.4" x14ac:dyDescent="0.3">
      <c r="A59" s="53" t="s">
        <v>345</v>
      </c>
      <c r="B59" s="52">
        <v>62589048</v>
      </c>
      <c r="C59" s="52">
        <v>62713252</v>
      </c>
      <c r="D59" s="52">
        <v>62817382</v>
      </c>
      <c r="E59" s="52">
        <v>62912042</v>
      </c>
      <c r="F59" s="61">
        <v>63011472</v>
      </c>
      <c r="J59" s="66"/>
      <c r="K59" s="66"/>
      <c r="L59" s="66"/>
      <c r="M59" s="66"/>
      <c r="N59" s="66"/>
      <c r="O59" s="66"/>
      <c r="P59" s="66"/>
    </row>
    <row r="60" spans="1:16" ht="14.4" x14ac:dyDescent="0.3">
      <c r="A60" s="53" t="s">
        <v>346</v>
      </c>
      <c r="B60" s="52">
        <v>62587450</v>
      </c>
      <c r="C60" s="52">
        <v>62706654</v>
      </c>
      <c r="D60" s="52">
        <v>62817382</v>
      </c>
      <c r="E60" s="52">
        <v>62912042</v>
      </c>
      <c r="F60" s="61">
        <v>63011472</v>
      </c>
      <c r="J60" s="66"/>
      <c r="K60" s="66"/>
      <c r="L60" s="66"/>
      <c r="M60" s="66"/>
      <c r="N60" s="66"/>
      <c r="O60" s="66"/>
      <c r="P60" s="66"/>
    </row>
    <row r="61" spans="1:16" ht="14.4" x14ac:dyDescent="0.3">
      <c r="A61" s="53" t="s">
        <v>347</v>
      </c>
      <c r="B61" s="56">
        <v>1910.1110000000001</v>
      </c>
      <c r="C61" s="56">
        <v>2004.046</v>
      </c>
      <c r="D61" s="56">
        <v>2144.2310000000002</v>
      </c>
      <c r="E61" s="56">
        <v>1976.521</v>
      </c>
      <c r="F61" s="62">
        <v>2122.6930000000002</v>
      </c>
      <c r="J61" s="66"/>
      <c r="K61" s="66"/>
      <c r="L61" s="66"/>
      <c r="M61" s="66"/>
      <c r="N61" s="66"/>
      <c r="O61" s="66"/>
      <c r="P61" s="66"/>
    </row>
    <row r="62" spans="1:16" ht="14.4" x14ac:dyDescent="0.3">
      <c r="A62" s="53" t="s">
        <v>348</v>
      </c>
      <c r="B62" s="52">
        <v>114844</v>
      </c>
      <c r="C62" s="52">
        <v>121120</v>
      </c>
      <c r="D62" s="52">
        <v>129269</v>
      </c>
      <c r="E62" s="52">
        <v>118803</v>
      </c>
      <c r="F62" s="61">
        <v>128485</v>
      </c>
      <c r="J62" s="66"/>
      <c r="K62" s="66"/>
      <c r="L62" s="66"/>
      <c r="M62" s="66"/>
      <c r="N62" s="66"/>
      <c r="O62" s="66"/>
      <c r="P62" s="66"/>
    </row>
    <row r="63" spans="1:16" ht="14.4" x14ac:dyDescent="0.3">
      <c r="A63" s="53" t="s">
        <v>349</v>
      </c>
      <c r="B63" s="56">
        <v>1834.9369999999999</v>
      </c>
      <c r="C63" s="56">
        <v>1931.5329999999999</v>
      </c>
      <c r="D63" s="56">
        <v>2057.8539999999998</v>
      </c>
      <c r="E63" s="56">
        <v>1888.3979999999999</v>
      </c>
      <c r="F63" s="62">
        <v>2039.0730000000001</v>
      </c>
      <c r="J63" s="66"/>
      <c r="K63" s="66"/>
      <c r="L63" s="66"/>
      <c r="M63" s="66"/>
      <c r="N63" s="66"/>
      <c r="O63" s="66"/>
      <c r="P63" s="66"/>
    </row>
    <row r="64" spans="1:16" ht="14.4" x14ac:dyDescent="0.3">
      <c r="A64" s="53" t="s">
        <v>46</v>
      </c>
      <c r="B64" s="52">
        <v>44671</v>
      </c>
      <c r="C64" s="52">
        <v>28828</v>
      </c>
      <c r="D64" s="52">
        <v>26638</v>
      </c>
      <c r="E64" s="52">
        <v>60028</v>
      </c>
      <c r="F64" s="61">
        <v>49304</v>
      </c>
      <c r="J64" s="66"/>
      <c r="K64" s="66"/>
      <c r="L64" s="66"/>
      <c r="M64" s="66"/>
      <c r="N64" s="66"/>
      <c r="O64" s="66"/>
      <c r="P64" s="66"/>
    </row>
    <row r="65" spans="1:16" ht="14.4" x14ac:dyDescent="0.3">
      <c r="A65" s="53" t="s">
        <v>26</v>
      </c>
      <c r="B65" s="52">
        <v>341</v>
      </c>
      <c r="C65" s="52">
        <v>-16523</v>
      </c>
      <c r="D65" s="52">
        <v>-14598</v>
      </c>
      <c r="E65" s="52">
        <v>16604</v>
      </c>
      <c r="F65" s="61">
        <v>11834</v>
      </c>
      <c r="J65" s="66"/>
      <c r="K65" s="66"/>
      <c r="L65" s="66"/>
      <c r="M65" s="66"/>
      <c r="N65" s="66"/>
      <c r="O65" s="66"/>
      <c r="P65" s="66"/>
    </row>
    <row r="66" spans="1:16" ht="14.4" x14ac:dyDescent="0.3">
      <c r="A66" s="53" t="s">
        <v>350</v>
      </c>
      <c r="B66" s="52">
        <v>627</v>
      </c>
      <c r="C66" s="52">
        <v>-219</v>
      </c>
      <c r="D66" s="52">
        <v>-2770</v>
      </c>
      <c r="E66" s="52">
        <v>-2882</v>
      </c>
      <c r="F66" s="61">
        <v>2102</v>
      </c>
      <c r="J66" s="66"/>
      <c r="K66" s="66"/>
      <c r="L66" s="66"/>
      <c r="M66" s="66"/>
      <c r="N66" s="66"/>
      <c r="O66" s="66"/>
      <c r="P66" s="66"/>
    </row>
    <row r="67" spans="1:16" ht="14.4" x14ac:dyDescent="0.25">
      <c r="A67" s="53" t="s">
        <v>351</v>
      </c>
      <c r="B67" s="52">
        <v>9696</v>
      </c>
      <c r="C67" s="52">
        <v>8192</v>
      </c>
      <c r="D67" s="52">
        <v>8672</v>
      </c>
      <c r="E67" s="52">
        <v>7848</v>
      </c>
      <c r="F67" s="61">
        <v>78</v>
      </c>
    </row>
    <row r="68" spans="1:16" ht="14.4" x14ac:dyDescent="0.25">
      <c r="A68" s="53" t="s">
        <v>341</v>
      </c>
      <c r="B68" s="52">
        <v>15613</v>
      </c>
      <c r="C68" s="52">
        <v>17300</v>
      </c>
      <c r="D68" s="52">
        <v>18049</v>
      </c>
      <c r="E68" s="52">
        <v>4573</v>
      </c>
      <c r="F68" s="61">
        <v>3822</v>
      </c>
    </row>
    <row r="69" spans="1:16" ht="14.4" x14ac:dyDescent="0.25">
      <c r="A69" s="53" t="s">
        <v>352</v>
      </c>
      <c r="B69" s="52">
        <v>39</v>
      </c>
      <c r="C69" s="52">
        <v>37</v>
      </c>
      <c r="D69" s="52">
        <v>55</v>
      </c>
      <c r="E69" s="52">
        <v>91</v>
      </c>
      <c r="F69" s="61">
        <v>915</v>
      </c>
    </row>
    <row r="70" spans="1:16" ht="14.4" x14ac:dyDescent="0.25">
      <c r="A70" s="53" t="s">
        <v>353</v>
      </c>
      <c r="B70" s="52">
        <v>3419</v>
      </c>
      <c r="C70" s="52">
        <v>3034</v>
      </c>
      <c r="D70" s="52">
        <v>3763</v>
      </c>
      <c r="E70" s="52">
        <v>4478</v>
      </c>
      <c r="F70" s="61">
        <v>99</v>
      </c>
    </row>
    <row r="71" spans="1:16" ht="14.4" x14ac:dyDescent="0.25">
      <c r="A71" s="53" t="s">
        <v>354</v>
      </c>
      <c r="B71" s="52">
        <v>2067</v>
      </c>
      <c r="C71" s="52">
        <v>1378</v>
      </c>
      <c r="D71" s="52">
        <v>1732</v>
      </c>
      <c r="E71" s="52">
        <v>1350</v>
      </c>
      <c r="F71" s="59" t="s">
        <v>355</v>
      </c>
    </row>
    <row r="72" spans="1:16" ht="14.4" x14ac:dyDescent="0.25">
      <c r="A72" s="53" t="s">
        <v>356</v>
      </c>
      <c r="B72" s="52">
        <v>14422</v>
      </c>
      <c r="C72" s="52">
        <v>14956</v>
      </c>
      <c r="D72" s="52">
        <v>17082</v>
      </c>
      <c r="E72" s="52">
        <v>17921</v>
      </c>
      <c r="F72" s="59" t="s">
        <v>240</v>
      </c>
    </row>
    <row r="73" spans="1:16" x14ac:dyDescent="0.25">
      <c r="A73" s="53" t="s">
        <v>357</v>
      </c>
      <c r="B73" s="52">
        <v>106</v>
      </c>
      <c r="C73" s="52">
        <v>202</v>
      </c>
      <c r="D73" s="52">
        <v>113</v>
      </c>
      <c r="E73" s="52">
        <v>102</v>
      </c>
    </row>
    <row r="74" spans="1:16" x14ac:dyDescent="0.25">
      <c r="A74" s="53" t="s">
        <v>358</v>
      </c>
      <c r="B74" s="52">
        <v>63169</v>
      </c>
      <c r="C74" s="52">
        <v>62377</v>
      </c>
      <c r="D74" s="52">
        <v>77772</v>
      </c>
      <c r="E74" s="52">
        <v>79367</v>
      </c>
    </row>
    <row r="75" spans="1:16" x14ac:dyDescent="0.25">
      <c r="A75" s="53" t="s">
        <v>237</v>
      </c>
      <c r="B75" s="54" t="s">
        <v>238</v>
      </c>
      <c r="C75" s="54" t="s">
        <v>238</v>
      </c>
      <c r="D75" s="54" t="s">
        <v>238</v>
      </c>
      <c r="E75" s="54" t="s">
        <v>238</v>
      </c>
    </row>
    <row r="76" spans="1:16" x14ac:dyDescent="0.25">
      <c r="A76" s="53" t="s">
        <v>239</v>
      </c>
      <c r="B76" s="54" t="s">
        <v>240</v>
      </c>
      <c r="C76" s="54" t="s">
        <v>240</v>
      </c>
      <c r="D76" s="54" t="s">
        <v>240</v>
      </c>
      <c r="E76" s="54" t="s">
        <v>240</v>
      </c>
    </row>
    <row r="77" spans="1:16" x14ac:dyDescent="0.25">
      <c r="A77" s="55" t="s">
        <v>359</v>
      </c>
      <c r="B77" s="54"/>
      <c r="C77" s="54"/>
      <c r="D77" s="54"/>
      <c r="E77" s="54"/>
    </row>
    <row r="78" spans="1:16" x14ac:dyDescent="0.25">
      <c r="A78" s="53" t="s">
        <v>360</v>
      </c>
      <c r="B78" s="54" t="s">
        <v>244</v>
      </c>
      <c r="C78" s="54" t="s">
        <v>244</v>
      </c>
      <c r="D78" s="52">
        <v>11361</v>
      </c>
      <c r="E78" s="52">
        <v>10287</v>
      </c>
    </row>
    <row r="79" spans="1:16" x14ac:dyDescent="0.25">
      <c r="A79" s="53" t="s">
        <v>361</v>
      </c>
      <c r="B79" s="54" t="s">
        <v>244</v>
      </c>
      <c r="C79" s="54" t="s">
        <v>244</v>
      </c>
      <c r="D79" s="52">
        <v>59775</v>
      </c>
      <c r="E79" s="52">
        <v>67825</v>
      </c>
    </row>
    <row r="80" spans="1:16" x14ac:dyDescent="0.25">
      <c r="A80" s="53" t="s">
        <v>362</v>
      </c>
      <c r="B80" s="54" t="s">
        <v>244</v>
      </c>
      <c r="C80" s="54" t="s">
        <v>244</v>
      </c>
      <c r="D80" s="52">
        <v>71136</v>
      </c>
      <c r="E80" s="52">
        <v>78112</v>
      </c>
    </row>
    <row r="81" spans="1:5" x14ac:dyDescent="0.25">
      <c r="A81" s="53" t="s">
        <v>363</v>
      </c>
      <c r="B81" s="54" t="s">
        <v>244</v>
      </c>
      <c r="C81" s="54" t="s">
        <v>244</v>
      </c>
      <c r="D81" s="52">
        <v>14508</v>
      </c>
      <c r="E81" s="52">
        <v>8789</v>
      </c>
    </row>
    <row r="82" spans="1:5" x14ac:dyDescent="0.25">
      <c r="A82" s="53" t="s">
        <v>364</v>
      </c>
      <c r="B82" s="54" t="s">
        <v>244</v>
      </c>
      <c r="C82" s="54" t="s">
        <v>244</v>
      </c>
      <c r="D82" s="52">
        <v>14508</v>
      </c>
      <c r="E82" s="52">
        <v>8789</v>
      </c>
    </row>
    <row r="83" spans="1:5" x14ac:dyDescent="0.25">
      <c r="A83" s="51"/>
    </row>
  </sheetData>
  <mergeCells count="4">
    <mergeCell ref="A1:D1"/>
    <mergeCell ref="A12:E12"/>
    <mergeCell ref="A2:L2"/>
    <mergeCell ref="J34:J38"/>
  </mergeCells>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9EA7D-0757-4340-B73B-E48D5DCFE9BD}">
  <dimension ref="B2:O184"/>
  <sheetViews>
    <sheetView showGridLines="0" zoomScale="99" workbookViewId="0">
      <selection activeCell="B2" sqref="B2"/>
    </sheetView>
  </sheetViews>
  <sheetFormatPr defaultRowHeight="14.4" x14ac:dyDescent="0.3"/>
  <cols>
    <col min="1" max="1" width="4.77734375" customWidth="1"/>
    <col min="2" max="2" width="16.77734375" customWidth="1"/>
    <col min="3" max="14" width="11.77734375" customWidth="1"/>
  </cols>
  <sheetData>
    <row r="2" spans="2:14" ht="21" x14ac:dyDescent="0.4">
      <c r="B2" s="499" t="s">
        <v>553</v>
      </c>
      <c r="C2" s="458"/>
      <c r="D2" s="458"/>
      <c r="E2" s="458"/>
      <c r="F2" s="458"/>
      <c r="G2" s="458"/>
      <c r="H2" s="458"/>
      <c r="I2" s="458"/>
      <c r="J2" s="458"/>
      <c r="K2" s="458"/>
      <c r="L2" s="458"/>
      <c r="M2" s="458"/>
      <c r="N2" s="458"/>
    </row>
    <row r="4" spans="2:14" ht="18" x14ac:dyDescent="0.35">
      <c r="B4" s="493" t="s">
        <v>374</v>
      </c>
      <c r="C4" s="463"/>
      <c r="D4" s="463"/>
      <c r="I4" s="485">
        <v>1</v>
      </c>
      <c r="J4" s="486">
        <f>I4+1</f>
        <v>2</v>
      </c>
      <c r="K4" s="486">
        <f t="shared" ref="K4:N4" si="0">J4+1</f>
        <v>3</v>
      </c>
      <c r="L4" s="486">
        <f t="shared" si="0"/>
        <v>4</v>
      </c>
      <c r="M4" s="486">
        <f t="shared" si="0"/>
        <v>5</v>
      </c>
      <c r="N4" s="486">
        <f t="shared" si="0"/>
        <v>6</v>
      </c>
    </row>
    <row r="6" spans="2:14" x14ac:dyDescent="0.3">
      <c r="B6" t="s">
        <v>79</v>
      </c>
      <c r="I6" s="469">
        <v>100</v>
      </c>
      <c r="J6" s="469">
        <v>110</v>
      </c>
      <c r="K6" s="469">
        <v>121.00000000000001</v>
      </c>
      <c r="L6" s="469">
        <v>133.10000000000002</v>
      </c>
      <c r="M6" s="469">
        <v>146.41000000000003</v>
      </c>
      <c r="N6" s="469">
        <v>161.05100000000004</v>
      </c>
    </row>
    <row r="7" spans="2:14" x14ac:dyDescent="0.3">
      <c r="B7" t="s">
        <v>375</v>
      </c>
      <c r="D7" s="500" t="s">
        <v>552</v>
      </c>
      <c r="E7" s="501">
        <v>0.4</v>
      </c>
      <c r="I7" s="466">
        <f>$E7*-1*I$6</f>
        <v>-40</v>
      </c>
      <c r="J7" s="466">
        <f t="shared" ref="J7:N8" si="1">$E7*-1*J$6</f>
        <v>-44</v>
      </c>
      <c r="K7" s="466">
        <f t="shared" si="1"/>
        <v>-48.400000000000006</v>
      </c>
      <c r="L7" s="466">
        <f t="shared" si="1"/>
        <v>-53.240000000000009</v>
      </c>
      <c r="M7" s="466">
        <f t="shared" si="1"/>
        <v>-58.564000000000014</v>
      </c>
      <c r="N7" s="466">
        <f t="shared" si="1"/>
        <v>-64.420400000000015</v>
      </c>
    </row>
    <row r="8" spans="2:14" x14ac:dyDescent="0.3">
      <c r="B8" t="s">
        <v>377</v>
      </c>
      <c r="D8" s="500" t="s">
        <v>552</v>
      </c>
      <c r="E8" s="501">
        <v>0.15</v>
      </c>
      <c r="I8" s="466">
        <f t="shared" ref="I8" si="2">$E8*-1*I$6</f>
        <v>-15</v>
      </c>
      <c r="J8" s="466">
        <f t="shared" si="1"/>
        <v>-16.5</v>
      </c>
      <c r="K8" s="466">
        <f t="shared" si="1"/>
        <v>-18.150000000000002</v>
      </c>
      <c r="L8" s="466">
        <f t="shared" si="1"/>
        <v>-19.965000000000003</v>
      </c>
      <c r="M8" s="466">
        <f t="shared" si="1"/>
        <v>-21.961500000000004</v>
      </c>
      <c r="N8" s="466">
        <f t="shared" si="1"/>
        <v>-24.157650000000007</v>
      </c>
    </row>
    <row r="9" spans="2:14" x14ac:dyDescent="0.3">
      <c r="B9" s="487" t="s">
        <v>18</v>
      </c>
      <c r="I9" s="502">
        <f>SUM(I6:I8)</f>
        <v>45</v>
      </c>
      <c r="J9" s="502">
        <f t="shared" ref="J9:N9" si="3">SUM(J6:J8)</f>
        <v>49.5</v>
      </c>
      <c r="K9" s="502">
        <f t="shared" si="3"/>
        <v>54.45</v>
      </c>
      <c r="L9" s="502">
        <f t="shared" si="3"/>
        <v>59.89500000000001</v>
      </c>
      <c r="M9" s="502">
        <f t="shared" si="3"/>
        <v>65.884500000000003</v>
      </c>
      <c r="N9" s="502">
        <f t="shared" si="3"/>
        <v>72.472950000000026</v>
      </c>
    </row>
    <row r="11" spans="2:14" x14ac:dyDescent="0.3">
      <c r="B11" t="s">
        <v>259</v>
      </c>
      <c r="D11" s="500" t="s">
        <v>552</v>
      </c>
      <c r="E11" s="501">
        <v>0.04</v>
      </c>
      <c r="I11" s="466">
        <f t="shared" ref="I11:N11" si="4">$E11*-1*I$6</f>
        <v>-4</v>
      </c>
      <c r="J11" s="466">
        <f t="shared" si="4"/>
        <v>-4.4000000000000004</v>
      </c>
      <c r="K11" s="466">
        <f t="shared" si="4"/>
        <v>-4.8400000000000007</v>
      </c>
      <c r="L11" s="466">
        <f t="shared" si="4"/>
        <v>-5.3240000000000007</v>
      </c>
      <c r="M11" s="466">
        <f t="shared" si="4"/>
        <v>-5.8564000000000007</v>
      </c>
      <c r="N11" s="466">
        <f t="shared" si="4"/>
        <v>-6.4420400000000022</v>
      </c>
    </row>
    <row r="13" spans="2:14" x14ac:dyDescent="0.3">
      <c r="B13" s="487" t="s">
        <v>224</v>
      </c>
      <c r="I13" s="475">
        <f>I9+I11</f>
        <v>41</v>
      </c>
      <c r="J13" s="475">
        <f t="shared" ref="J13:N13" si="5">J9+J11</f>
        <v>45.1</v>
      </c>
      <c r="K13" s="475">
        <f t="shared" si="5"/>
        <v>49.61</v>
      </c>
      <c r="L13" s="475">
        <f t="shared" si="5"/>
        <v>54.571000000000012</v>
      </c>
      <c r="M13" s="475">
        <f t="shared" si="5"/>
        <v>60.028100000000002</v>
      </c>
      <c r="N13" s="475">
        <f t="shared" si="5"/>
        <v>66.03091000000002</v>
      </c>
    </row>
    <row r="15" spans="2:14" x14ac:dyDescent="0.3">
      <c r="B15" t="s">
        <v>526</v>
      </c>
      <c r="I15" s="475">
        <f t="shared" ref="I15:N15" ca="1" si="6">-I38</f>
        <v>-23.603305785123968</v>
      </c>
      <c r="J15" s="475">
        <f t="shared" ca="1" si="6"/>
        <v>-22.6316235229834</v>
      </c>
      <c r="K15" s="475">
        <f t="shared" ca="1" si="6"/>
        <v>-21.276358962519499</v>
      </c>
      <c r="L15" s="475">
        <f t="shared" ca="1" si="6"/>
        <v>-19.521539720372026</v>
      </c>
      <c r="M15" s="475">
        <f t="shared" ca="1" si="6"/>
        <v>-17.305621685355302</v>
      </c>
      <c r="N15" s="475">
        <f t="shared" ca="1" si="6"/>
        <v>-14.518156672816806</v>
      </c>
    </row>
    <row r="16" spans="2:14" x14ac:dyDescent="0.3">
      <c r="B16" t="s">
        <v>527</v>
      </c>
      <c r="I16" s="475">
        <f ca="1">I13+I15</f>
        <v>17.396694214876032</v>
      </c>
      <c r="J16" s="475">
        <f t="shared" ref="J16:N16" ca="1" si="7">J13+J15</f>
        <v>22.468376477016601</v>
      </c>
      <c r="K16" s="475">
        <f t="shared" ca="1" si="7"/>
        <v>28.333641037480501</v>
      </c>
      <c r="L16" s="475">
        <f t="shared" ca="1" si="7"/>
        <v>35.049460279627986</v>
      </c>
      <c r="M16" s="475">
        <f t="shared" ca="1" si="7"/>
        <v>42.722478314644704</v>
      </c>
      <c r="N16" s="475">
        <f t="shared" ca="1" si="7"/>
        <v>51.512753327183212</v>
      </c>
    </row>
    <row r="17" spans="2:14" x14ac:dyDescent="0.3">
      <c r="B17" t="s">
        <v>528</v>
      </c>
      <c r="D17" s="500" t="s">
        <v>99</v>
      </c>
      <c r="E17" s="501">
        <v>0.2</v>
      </c>
      <c r="I17" s="475">
        <f ca="1">-$E$17*I16</f>
        <v>-3.4793388429752063</v>
      </c>
      <c r="J17" s="475">
        <f t="shared" ref="J17:N17" ca="1" si="8">-$E$17*J16</f>
        <v>-4.4936752954033201</v>
      </c>
      <c r="K17" s="475">
        <f t="shared" ca="1" si="8"/>
        <v>-5.6667282074961003</v>
      </c>
      <c r="L17" s="475">
        <f t="shared" ca="1" si="8"/>
        <v>-7.0098920559255973</v>
      </c>
      <c r="M17" s="475">
        <f t="shared" ca="1" si="8"/>
        <v>-8.5444956629289415</v>
      </c>
      <c r="N17" s="475">
        <f t="shared" ca="1" si="8"/>
        <v>-10.302550665436643</v>
      </c>
    </row>
    <row r="19" spans="2:14" ht="15" thickBot="1" x14ac:dyDescent="0.35">
      <c r="B19" s="487" t="s">
        <v>384</v>
      </c>
      <c r="I19" s="504">
        <f ca="1">I16+I17</f>
        <v>13.917355371900825</v>
      </c>
      <c r="J19" s="504">
        <f t="shared" ref="J19:N19" ca="1" si="9">J16+J17</f>
        <v>17.97470118161328</v>
      </c>
      <c r="K19" s="504">
        <f t="shared" ca="1" si="9"/>
        <v>22.666912829984401</v>
      </c>
      <c r="L19" s="504">
        <f t="shared" ca="1" si="9"/>
        <v>28.039568223702389</v>
      </c>
      <c r="M19" s="504">
        <f t="shared" ca="1" si="9"/>
        <v>34.177982651715766</v>
      </c>
      <c r="N19" s="504">
        <f t="shared" ca="1" si="9"/>
        <v>41.210202661746571</v>
      </c>
    </row>
    <row r="21" spans="2:14" ht="18" x14ac:dyDescent="0.35">
      <c r="B21" s="493" t="s">
        <v>385</v>
      </c>
      <c r="C21" s="463"/>
      <c r="D21" s="463"/>
    </row>
    <row r="23" spans="2:14" x14ac:dyDescent="0.3">
      <c r="B23" t="s">
        <v>384</v>
      </c>
      <c r="I23" s="475">
        <f ca="1">I19</f>
        <v>13.917355371900825</v>
      </c>
      <c r="J23" s="475">
        <f t="shared" ref="J23:N23" ca="1" si="10">J19</f>
        <v>17.97470118161328</v>
      </c>
      <c r="K23" s="475">
        <f t="shared" ca="1" si="10"/>
        <v>22.666912829984401</v>
      </c>
      <c r="L23" s="475">
        <f t="shared" ca="1" si="10"/>
        <v>28.039568223702389</v>
      </c>
      <c r="M23" s="475">
        <f t="shared" ca="1" si="10"/>
        <v>34.177982651715766</v>
      </c>
      <c r="N23" s="475">
        <f t="shared" ca="1" si="10"/>
        <v>41.210202661746571</v>
      </c>
    </row>
    <row r="24" spans="2:14" x14ac:dyDescent="0.3">
      <c r="B24" t="s">
        <v>259</v>
      </c>
      <c r="I24" s="475">
        <f>-I11</f>
        <v>4</v>
      </c>
      <c r="J24" s="475">
        <f t="shared" ref="J24:N24" si="11">-J11</f>
        <v>4.4000000000000004</v>
      </c>
      <c r="K24" s="475">
        <f t="shared" si="11"/>
        <v>4.8400000000000007</v>
      </c>
      <c r="L24" s="475">
        <f t="shared" si="11"/>
        <v>5.3240000000000007</v>
      </c>
      <c r="M24" s="475">
        <f t="shared" si="11"/>
        <v>5.8564000000000007</v>
      </c>
      <c r="N24" s="475">
        <f t="shared" si="11"/>
        <v>6.4420400000000022</v>
      </c>
    </row>
    <row r="25" spans="2:14" x14ac:dyDescent="0.3">
      <c r="B25" t="s">
        <v>43</v>
      </c>
      <c r="I25" s="469">
        <v>-6</v>
      </c>
      <c r="J25" s="469">
        <v>-6</v>
      </c>
      <c r="K25" s="469">
        <v>-6</v>
      </c>
      <c r="L25" s="469">
        <v>-6</v>
      </c>
      <c r="M25" s="469">
        <v>-6</v>
      </c>
      <c r="N25" s="469">
        <v>-6</v>
      </c>
    </row>
    <row r="26" spans="2:14" x14ac:dyDescent="0.3">
      <c r="B26" t="s">
        <v>388</v>
      </c>
      <c r="I26" s="469">
        <v>-2</v>
      </c>
      <c r="J26" s="469">
        <v>-2</v>
      </c>
      <c r="K26" s="469">
        <v>-2</v>
      </c>
      <c r="L26" s="469">
        <v>-3</v>
      </c>
      <c r="M26" s="469">
        <v>-3</v>
      </c>
      <c r="N26" s="469">
        <v>-3</v>
      </c>
    </row>
    <row r="27" spans="2:14" x14ac:dyDescent="0.3">
      <c r="B27" t="s">
        <v>298</v>
      </c>
      <c r="I27" s="475">
        <f ca="1">SUM(I23:I26)</f>
        <v>9.9173553719008254</v>
      </c>
      <c r="J27" s="475">
        <f t="shared" ref="J27:N27" ca="1" si="12">SUM(J23:J26)</f>
        <v>14.374701181613283</v>
      </c>
      <c r="K27" s="475">
        <f t="shared" ca="1" si="12"/>
        <v>19.506912829984401</v>
      </c>
      <c r="L27" s="475">
        <f t="shared" ca="1" si="12"/>
        <v>24.363568223702387</v>
      </c>
      <c r="M27" s="475">
        <f t="shared" ca="1" si="12"/>
        <v>31.034382651715767</v>
      </c>
      <c r="N27" s="475">
        <f t="shared" ca="1" si="12"/>
        <v>38.65224266174657</v>
      </c>
    </row>
    <row r="28" spans="2:14" x14ac:dyDescent="0.3">
      <c r="B28" t="s">
        <v>530</v>
      </c>
      <c r="I28" s="496">
        <f ca="1">H28+I27</f>
        <v>9.9173553719008254</v>
      </c>
      <c r="J28" s="496">
        <f t="shared" ref="J28:N28" ca="1" si="13">I28+J27</f>
        <v>24.292056553514108</v>
      </c>
      <c r="K28" s="496">
        <f t="shared" ca="1" si="13"/>
        <v>43.798969383498509</v>
      </c>
      <c r="L28" s="496">
        <f t="shared" ca="1" si="13"/>
        <v>68.162537607200903</v>
      </c>
      <c r="M28" s="496">
        <f t="shared" ca="1" si="13"/>
        <v>99.196920258916663</v>
      </c>
      <c r="N28" s="496">
        <f t="shared" ca="1" si="13"/>
        <v>137.84916292066322</v>
      </c>
    </row>
    <row r="31" spans="2:14" ht="18" x14ac:dyDescent="0.35">
      <c r="B31" s="493" t="s">
        <v>547</v>
      </c>
      <c r="C31" s="463"/>
      <c r="D31" s="463"/>
    </row>
    <row r="33" spans="2:15" x14ac:dyDescent="0.3">
      <c r="B33" t="s">
        <v>549</v>
      </c>
      <c r="I33" s="503">
        <v>300</v>
      </c>
      <c r="J33" s="475">
        <f ca="1">I35</f>
        <v>290.08264462809916</v>
      </c>
      <c r="K33" s="475">
        <f ca="1">J35</f>
        <v>275.7079434464859</v>
      </c>
      <c r="L33" s="475">
        <f ca="1">K35</f>
        <v>256.2010306165015</v>
      </c>
      <c r="M33" s="475">
        <f ca="1">L35</f>
        <v>231.83746239279913</v>
      </c>
      <c r="N33" s="475">
        <f ca="1">M35</f>
        <v>200.80307974108337</v>
      </c>
    </row>
    <row r="34" spans="2:15" x14ac:dyDescent="0.3">
      <c r="B34" t="s">
        <v>548</v>
      </c>
      <c r="I34" s="475">
        <f ca="1">-I27</f>
        <v>-9.9173553719008254</v>
      </c>
      <c r="J34" s="475">
        <f t="shared" ref="J34:N34" ca="1" si="14">-J27</f>
        <v>-14.374701181613283</v>
      </c>
      <c r="K34" s="475">
        <f t="shared" ca="1" si="14"/>
        <v>-19.506912829984401</v>
      </c>
      <c r="L34" s="475">
        <f t="shared" ca="1" si="14"/>
        <v>-24.363568223702387</v>
      </c>
      <c r="M34" s="475">
        <f t="shared" ca="1" si="14"/>
        <v>-31.034382651715767</v>
      </c>
      <c r="N34" s="475">
        <f t="shared" ca="1" si="14"/>
        <v>-38.65224266174657</v>
      </c>
    </row>
    <row r="35" spans="2:15" x14ac:dyDescent="0.3">
      <c r="B35" t="s">
        <v>532</v>
      </c>
      <c r="I35" s="475">
        <f t="shared" ref="I35:N35" ca="1" si="15">SUM(I33:I34)</f>
        <v>290.08264462809916</v>
      </c>
      <c r="J35" s="475">
        <f t="shared" ca="1" si="15"/>
        <v>275.7079434464859</v>
      </c>
      <c r="K35" s="475">
        <f t="shared" ca="1" si="15"/>
        <v>256.2010306165015</v>
      </c>
      <c r="L35" s="475">
        <f t="shared" ca="1" si="15"/>
        <v>231.83746239279913</v>
      </c>
      <c r="M35" s="475">
        <f t="shared" ca="1" si="15"/>
        <v>200.80307974108337</v>
      </c>
      <c r="N35" s="475">
        <f t="shared" ca="1" si="15"/>
        <v>162.15083707933678</v>
      </c>
    </row>
    <row r="36" spans="2:15" x14ac:dyDescent="0.3">
      <c r="J36" s="489"/>
      <c r="K36" s="489"/>
      <c r="L36" s="489"/>
      <c r="M36" s="489"/>
      <c r="N36" s="489"/>
    </row>
    <row r="37" spans="2:15" x14ac:dyDescent="0.3">
      <c r="B37" t="s">
        <v>185</v>
      </c>
      <c r="I37" s="495">
        <v>0.08</v>
      </c>
      <c r="J37" s="495">
        <f>I37</f>
        <v>0.08</v>
      </c>
      <c r="K37" s="495">
        <f>J37</f>
        <v>0.08</v>
      </c>
      <c r="L37" s="495">
        <f>K37</f>
        <v>0.08</v>
      </c>
      <c r="M37" s="495">
        <f>L37</f>
        <v>0.08</v>
      </c>
      <c r="N37" s="495">
        <f>M37</f>
        <v>0.08</v>
      </c>
    </row>
    <row r="38" spans="2:15" x14ac:dyDescent="0.3">
      <c r="B38" s="487" t="s">
        <v>192</v>
      </c>
      <c r="I38" s="496">
        <f t="shared" ref="I38:N38" ca="1" si="16">AVERAGE(I33,I35)*I37</f>
        <v>23.603305785123968</v>
      </c>
      <c r="J38" s="496">
        <f t="shared" ca="1" si="16"/>
        <v>22.6316235229834</v>
      </c>
      <c r="K38" s="496">
        <f t="shared" ca="1" si="16"/>
        <v>21.276358962519499</v>
      </c>
      <c r="L38" s="496">
        <f t="shared" ca="1" si="16"/>
        <v>19.521539720372026</v>
      </c>
      <c r="M38" s="496">
        <f t="shared" ca="1" si="16"/>
        <v>17.305621685355302</v>
      </c>
      <c r="N38" s="496">
        <f t="shared" ca="1" si="16"/>
        <v>14.518156672816806</v>
      </c>
    </row>
    <row r="42" spans="2:15" ht="21" x14ac:dyDescent="0.4">
      <c r="B42" s="499" t="s">
        <v>550</v>
      </c>
      <c r="C42" s="460"/>
      <c r="D42" s="460"/>
      <c r="E42" s="460"/>
      <c r="F42" s="460"/>
      <c r="G42" s="460"/>
      <c r="H42" s="460"/>
      <c r="I42" s="460"/>
      <c r="J42" s="460"/>
      <c r="K42" s="460"/>
      <c r="L42" s="460"/>
      <c r="M42" s="460"/>
      <c r="N42" s="460"/>
      <c r="O42" t="s">
        <v>3</v>
      </c>
    </row>
    <row r="43" spans="2:15" x14ac:dyDescent="0.3">
      <c r="O43" t="s">
        <v>3</v>
      </c>
    </row>
    <row r="44" spans="2:15" x14ac:dyDescent="0.3">
      <c r="B44" s="461" t="s">
        <v>507</v>
      </c>
    </row>
    <row r="46" spans="2:15" x14ac:dyDescent="0.3">
      <c r="B46" s="462" t="s">
        <v>4</v>
      </c>
      <c r="C46" s="463"/>
      <c r="D46" s="463"/>
      <c r="F46" s="462" t="s">
        <v>508</v>
      </c>
      <c r="G46" s="463"/>
      <c r="H46" s="464" t="s">
        <v>10</v>
      </c>
      <c r="I46" s="464" t="s">
        <v>9</v>
      </c>
      <c r="K46" s="462" t="s">
        <v>509</v>
      </c>
      <c r="L46" s="463"/>
      <c r="M46" s="464" t="s">
        <v>10</v>
      </c>
      <c r="O46" t="s">
        <v>3</v>
      </c>
    </row>
    <row r="47" spans="2:15" x14ac:dyDescent="0.3">
      <c r="B47" t="s">
        <v>72</v>
      </c>
      <c r="D47" s="465">
        <v>9.5</v>
      </c>
      <c r="F47" t="s">
        <v>510</v>
      </c>
      <c r="H47" s="466">
        <f>D53</f>
        <v>40</v>
      </c>
      <c r="I47" s="467">
        <f>H47/D49</f>
        <v>0.41666666666666669</v>
      </c>
      <c r="K47" t="s">
        <v>511</v>
      </c>
      <c r="M47" s="468">
        <f>D56</f>
        <v>732</v>
      </c>
      <c r="O47" t="s">
        <v>3</v>
      </c>
    </row>
    <row r="48" spans="2:15" x14ac:dyDescent="0.3">
      <c r="B48" t="s">
        <v>15</v>
      </c>
      <c r="D48" s="465">
        <v>9.5</v>
      </c>
      <c r="F48" t="s">
        <v>512</v>
      </c>
      <c r="H48" s="469">
        <v>500</v>
      </c>
      <c r="I48" s="467">
        <f>H48/$D$49</f>
        <v>5.208333333333333</v>
      </c>
      <c r="K48" s="463" t="s">
        <v>17</v>
      </c>
      <c r="L48" s="463"/>
      <c r="M48" s="470">
        <f>D54</f>
        <v>220</v>
      </c>
      <c r="O48" t="s">
        <v>3</v>
      </c>
    </row>
    <row r="49" spans="2:15" x14ac:dyDescent="0.3">
      <c r="B49" t="s">
        <v>513</v>
      </c>
      <c r="D49" s="471">
        <v>96</v>
      </c>
      <c r="F49" s="463" t="s">
        <v>27</v>
      </c>
      <c r="G49" s="463"/>
      <c r="H49" s="472">
        <f>H50-SUM(H47:H48)</f>
        <v>412</v>
      </c>
      <c r="I49" s="473">
        <f t="shared" ref="I49" si="17">H49/$D$49</f>
        <v>4.291666666666667</v>
      </c>
      <c r="K49" t="s">
        <v>514</v>
      </c>
      <c r="M49" s="474">
        <f>SUM(M47:M48)</f>
        <v>952</v>
      </c>
      <c r="O49" t="s">
        <v>3</v>
      </c>
    </row>
    <row r="50" spans="2:15" x14ac:dyDescent="0.3">
      <c r="F50" t="s">
        <v>514</v>
      </c>
      <c r="H50" s="475">
        <f>M49</f>
        <v>952</v>
      </c>
      <c r="I50" s="467">
        <f>SUM(I47:I49)</f>
        <v>9.9166666666666679</v>
      </c>
      <c r="O50" t="s">
        <v>3</v>
      </c>
    </row>
    <row r="51" spans="2:15" x14ac:dyDescent="0.3">
      <c r="B51" s="462" t="s">
        <v>23</v>
      </c>
      <c r="C51" s="463"/>
      <c r="D51" s="463"/>
      <c r="O51" t="s">
        <v>3</v>
      </c>
    </row>
    <row r="52" spans="2:15" x14ac:dyDescent="0.3">
      <c r="B52" t="s">
        <v>28</v>
      </c>
      <c r="D52" s="477">
        <f>D49*D47</f>
        <v>912</v>
      </c>
      <c r="O52" t="s">
        <v>3</v>
      </c>
    </row>
    <row r="53" spans="2:15" x14ac:dyDescent="0.3">
      <c r="B53" t="s">
        <v>515</v>
      </c>
      <c r="D53" s="471">
        <v>40</v>
      </c>
      <c r="F53" s="462" t="s">
        <v>516</v>
      </c>
      <c r="G53" s="462"/>
      <c r="H53" s="462"/>
      <c r="I53" s="462"/>
      <c r="K53" s="462" t="s">
        <v>517</v>
      </c>
      <c r="L53" s="463"/>
      <c r="M53" s="463"/>
      <c r="O53" t="s">
        <v>3</v>
      </c>
    </row>
    <row r="54" spans="2:15" ht="15" thickBot="1" x14ac:dyDescent="0.35">
      <c r="B54" t="s">
        <v>512</v>
      </c>
      <c r="D54" s="471">
        <v>220</v>
      </c>
      <c r="F54" t="s">
        <v>518</v>
      </c>
      <c r="I54" s="476">
        <v>7.0000000000000007E-2</v>
      </c>
      <c r="O54" t="s">
        <v>3</v>
      </c>
    </row>
    <row r="55" spans="2:15" x14ac:dyDescent="0.3">
      <c r="B55" t="s">
        <v>26</v>
      </c>
      <c r="D55" s="477">
        <f>D54-D53</f>
        <v>180</v>
      </c>
      <c r="F55" t="s">
        <v>379</v>
      </c>
      <c r="I55" s="476">
        <v>0.2</v>
      </c>
      <c r="K55" s="478" t="s">
        <v>68</v>
      </c>
      <c r="L55" s="479"/>
      <c r="M55" s="480">
        <f ca="1">M120</f>
        <v>0.18913922499980607</v>
      </c>
      <c r="O55" t="s">
        <v>3</v>
      </c>
    </row>
    <row r="56" spans="2:15" ht="15" thickBot="1" x14ac:dyDescent="0.35">
      <c r="B56" t="s">
        <v>519</v>
      </c>
      <c r="D56" s="481">
        <f>D52-D55</f>
        <v>732</v>
      </c>
      <c r="F56" t="s">
        <v>520</v>
      </c>
      <c r="I56" s="476">
        <v>0.04</v>
      </c>
      <c r="K56" s="482" t="s">
        <v>69</v>
      </c>
      <c r="L56" s="483"/>
      <c r="M56" s="484">
        <f t="shared" ref="M56" ca="1" si="18">M121</f>
        <v>2.3777354074865817</v>
      </c>
      <c r="O56" t="s">
        <v>3</v>
      </c>
    </row>
    <row r="57" spans="2:15" x14ac:dyDescent="0.3">
      <c r="D57" s="471"/>
      <c r="F57" t="s">
        <v>521</v>
      </c>
      <c r="I57" s="476">
        <v>2.5000000000000001E-2</v>
      </c>
      <c r="O57" t="s">
        <v>3</v>
      </c>
    </row>
    <row r="58" spans="2:15" x14ac:dyDescent="0.3">
      <c r="F58" t="s">
        <v>522</v>
      </c>
      <c r="I58" s="476">
        <v>0.09</v>
      </c>
      <c r="O58" t="s">
        <v>3</v>
      </c>
    </row>
    <row r="59" spans="2:15" x14ac:dyDescent="0.3">
      <c r="F59" t="s">
        <v>523</v>
      </c>
      <c r="I59" s="476">
        <v>0.1</v>
      </c>
      <c r="O59" t="s">
        <v>3</v>
      </c>
    </row>
    <row r="60" spans="2:15" x14ac:dyDescent="0.3">
      <c r="F60" t="s">
        <v>99</v>
      </c>
      <c r="I60" s="476">
        <v>0.2</v>
      </c>
      <c r="O60" t="s">
        <v>3</v>
      </c>
    </row>
    <row r="61" spans="2:15" x14ac:dyDescent="0.3">
      <c r="O61" t="s">
        <v>3</v>
      </c>
    </row>
    <row r="62" spans="2:15" x14ac:dyDescent="0.3">
      <c r="O62" t="s">
        <v>3</v>
      </c>
    </row>
    <row r="63" spans="2:15" x14ac:dyDescent="0.3">
      <c r="O63" t="s">
        <v>3</v>
      </c>
    </row>
    <row r="64" spans="2:15" ht="21" x14ac:dyDescent="0.4">
      <c r="B64" s="459" t="s">
        <v>374</v>
      </c>
      <c r="C64" s="460"/>
      <c r="D64" s="460"/>
      <c r="E64" s="460"/>
      <c r="F64" s="460"/>
      <c r="G64" s="460"/>
      <c r="H64" s="460"/>
      <c r="I64" s="460"/>
      <c r="J64" s="460"/>
      <c r="K64" s="460"/>
      <c r="L64" s="460"/>
      <c r="M64" s="460"/>
      <c r="N64" s="460"/>
      <c r="O64" t="s">
        <v>3</v>
      </c>
    </row>
    <row r="65" spans="2:15" x14ac:dyDescent="0.3">
      <c r="O65" t="s">
        <v>3</v>
      </c>
    </row>
    <row r="66" spans="2:15" x14ac:dyDescent="0.3">
      <c r="B66" s="461" t="s">
        <v>507</v>
      </c>
      <c r="I66" s="485">
        <v>0</v>
      </c>
      <c r="J66" s="486">
        <f>I66+1</f>
        <v>1</v>
      </c>
      <c r="K66" s="486">
        <f t="shared" ref="K66:N66" si="19">J66+1</f>
        <v>2</v>
      </c>
      <c r="L66" s="486">
        <f t="shared" si="19"/>
        <v>3</v>
      </c>
      <c r="M66" s="486">
        <f t="shared" si="19"/>
        <v>4</v>
      </c>
      <c r="N66" s="486">
        <f t="shared" si="19"/>
        <v>5</v>
      </c>
      <c r="O66" s="486" t="s">
        <v>3</v>
      </c>
    </row>
    <row r="67" spans="2:15" x14ac:dyDescent="0.3">
      <c r="O67" t="s">
        <v>3</v>
      </c>
    </row>
    <row r="68" spans="2:15" x14ac:dyDescent="0.3">
      <c r="B68" s="487" t="s">
        <v>79</v>
      </c>
      <c r="I68" s="469">
        <v>480</v>
      </c>
      <c r="J68" s="475">
        <f>(1+J69)*I68</f>
        <v>513.6</v>
      </c>
      <c r="K68" s="475">
        <f t="shared" ref="K68:N68" si="20">(1+K69)*J68</f>
        <v>549.55200000000002</v>
      </c>
      <c r="L68" s="475">
        <f t="shared" si="20"/>
        <v>588.02064000000007</v>
      </c>
      <c r="M68" s="475">
        <f t="shared" si="20"/>
        <v>629.1820848000001</v>
      </c>
      <c r="N68" s="475">
        <f t="shared" si="20"/>
        <v>673.22483073600017</v>
      </c>
      <c r="O68" t="s">
        <v>3</v>
      </c>
    </row>
    <row r="69" spans="2:15" x14ac:dyDescent="0.3">
      <c r="B69" s="488" t="s">
        <v>524</v>
      </c>
      <c r="J69" s="489">
        <f>$I$54</f>
        <v>7.0000000000000007E-2</v>
      </c>
      <c r="K69" s="489">
        <f t="shared" ref="K69:N69" si="21">$I$54</f>
        <v>7.0000000000000007E-2</v>
      </c>
      <c r="L69" s="489">
        <f t="shared" si="21"/>
        <v>7.0000000000000007E-2</v>
      </c>
      <c r="M69" s="489">
        <f t="shared" si="21"/>
        <v>7.0000000000000007E-2</v>
      </c>
      <c r="N69" s="489">
        <f t="shared" si="21"/>
        <v>7.0000000000000007E-2</v>
      </c>
      <c r="O69" t="s">
        <v>3</v>
      </c>
    </row>
    <row r="70" spans="2:15" x14ac:dyDescent="0.3">
      <c r="O70" t="s">
        <v>3</v>
      </c>
    </row>
    <row r="71" spans="2:15" x14ac:dyDescent="0.3">
      <c r="B71" s="487" t="s">
        <v>18</v>
      </c>
      <c r="I71" s="475">
        <f>D49</f>
        <v>96</v>
      </c>
      <c r="J71" s="475">
        <f>J72*J68</f>
        <v>102.72000000000001</v>
      </c>
      <c r="K71" s="475">
        <f t="shared" ref="K71:N71" si="22">K72*K68</f>
        <v>109.91040000000001</v>
      </c>
      <c r="L71" s="475">
        <f t="shared" si="22"/>
        <v>117.60412800000002</v>
      </c>
      <c r="M71" s="475">
        <f t="shared" si="22"/>
        <v>125.83641696000002</v>
      </c>
      <c r="N71" s="475">
        <f t="shared" si="22"/>
        <v>134.64496614720005</v>
      </c>
      <c r="O71" t="s">
        <v>3</v>
      </c>
    </row>
    <row r="72" spans="2:15" x14ac:dyDescent="0.3">
      <c r="B72" s="488" t="s">
        <v>525</v>
      </c>
      <c r="J72" s="489">
        <f>$I$55</f>
        <v>0.2</v>
      </c>
      <c r="K72" s="489">
        <f t="shared" ref="K72:N72" si="23">$I$55</f>
        <v>0.2</v>
      </c>
      <c r="L72" s="489">
        <f t="shared" si="23"/>
        <v>0.2</v>
      </c>
      <c r="M72" s="489">
        <f t="shared" si="23"/>
        <v>0.2</v>
      </c>
      <c r="N72" s="489">
        <f t="shared" si="23"/>
        <v>0.2</v>
      </c>
      <c r="O72" t="s">
        <v>3</v>
      </c>
    </row>
    <row r="73" spans="2:15" x14ac:dyDescent="0.3">
      <c r="O73" t="s">
        <v>3</v>
      </c>
    </row>
    <row r="74" spans="2:15" x14ac:dyDescent="0.3">
      <c r="B74" s="487" t="s">
        <v>259</v>
      </c>
      <c r="I74" s="475"/>
      <c r="J74" s="475">
        <f>-J75*J$68</f>
        <v>-12.840000000000002</v>
      </c>
      <c r="K74" s="475">
        <f t="shared" ref="K74:N74" si="24">-K75*K$68</f>
        <v>-13.738800000000001</v>
      </c>
      <c r="L74" s="475">
        <f t="shared" si="24"/>
        <v>-14.700516000000002</v>
      </c>
      <c r="M74" s="475">
        <f t="shared" si="24"/>
        <v>-15.729552120000003</v>
      </c>
      <c r="N74" s="475">
        <f t="shared" si="24"/>
        <v>-16.830620768400006</v>
      </c>
      <c r="O74" t="s">
        <v>3</v>
      </c>
    </row>
    <row r="75" spans="2:15" x14ac:dyDescent="0.3">
      <c r="B75" s="488" t="s">
        <v>525</v>
      </c>
      <c r="J75" s="489">
        <f>$I$57</f>
        <v>2.5000000000000001E-2</v>
      </c>
      <c r="K75" s="489">
        <f t="shared" ref="K75:N75" si="25">$I$57</f>
        <v>2.5000000000000001E-2</v>
      </c>
      <c r="L75" s="489">
        <f t="shared" si="25"/>
        <v>2.5000000000000001E-2</v>
      </c>
      <c r="M75" s="489">
        <f t="shared" si="25"/>
        <v>2.5000000000000001E-2</v>
      </c>
      <c r="N75" s="489">
        <f t="shared" si="25"/>
        <v>2.5000000000000001E-2</v>
      </c>
      <c r="O75" t="s">
        <v>3</v>
      </c>
    </row>
    <row r="76" spans="2:15" x14ac:dyDescent="0.3">
      <c r="O76" t="s">
        <v>3</v>
      </c>
    </row>
    <row r="77" spans="2:15" x14ac:dyDescent="0.3">
      <c r="B77" s="487" t="s">
        <v>224</v>
      </c>
      <c r="I77" s="475"/>
      <c r="J77" s="475">
        <f>J74+J71</f>
        <v>89.88000000000001</v>
      </c>
      <c r="K77" s="475">
        <f t="shared" ref="K77:N77" si="26">K74+K71</f>
        <v>96.171600000000012</v>
      </c>
      <c r="L77" s="475">
        <f t="shared" si="26"/>
        <v>102.90361200000001</v>
      </c>
      <c r="M77" s="475">
        <f t="shared" si="26"/>
        <v>110.10686484000001</v>
      </c>
      <c r="N77" s="475">
        <f t="shared" si="26"/>
        <v>117.81434537880004</v>
      </c>
      <c r="O77" t="s">
        <v>3</v>
      </c>
    </row>
    <row r="78" spans="2:15" x14ac:dyDescent="0.3">
      <c r="O78" t="s">
        <v>3</v>
      </c>
    </row>
    <row r="79" spans="2:15" x14ac:dyDescent="0.3">
      <c r="B79" s="487" t="s">
        <v>526</v>
      </c>
      <c r="I79" s="475"/>
      <c r="J79" s="475">
        <f ca="1">-J110</f>
        <v>-43.840456431535266</v>
      </c>
      <c r="K79" s="475">
        <f ca="1">-K110</f>
        <v>-41.235961476214243</v>
      </c>
      <c r="L79" s="475">
        <f ca="1">-L110</f>
        <v>-38.025417914271742</v>
      </c>
      <c r="M79" s="475">
        <f ca="1">-M110</f>
        <v>-34.134754163677925</v>
      </c>
      <c r="N79" s="475">
        <f ca="1">-N110</f>
        <v>-29.482349867211962</v>
      </c>
      <c r="O79" t="s">
        <v>3</v>
      </c>
    </row>
    <row r="80" spans="2:15" x14ac:dyDescent="0.3">
      <c r="O80" t="s">
        <v>3</v>
      </c>
    </row>
    <row r="81" spans="2:15" x14ac:dyDescent="0.3">
      <c r="B81" s="487" t="s">
        <v>527</v>
      </c>
      <c r="E81" s="490" t="s">
        <v>99</v>
      </c>
      <c r="I81" s="475"/>
      <c r="J81" s="475">
        <f ca="1">J77+J79</f>
        <v>46.039543568464744</v>
      </c>
      <c r="K81" s="475">
        <f t="shared" ref="K81:N81" ca="1" si="27">K77+K79</f>
        <v>54.935638523785769</v>
      </c>
      <c r="L81" s="475">
        <f t="shared" ca="1" si="27"/>
        <v>64.878194085728268</v>
      </c>
      <c r="M81" s="475">
        <f t="shared" ca="1" si="27"/>
        <v>75.972110676322089</v>
      </c>
      <c r="N81" s="475">
        <f t="shared" ca="1" si="27"/>
        <v>88.331995511588076</v>
      </c>
      <c r="O81" t="s">
        <v>3</v>
      </c>
    </row>
    <row r="82" spans="2:15" x14ac:dyDescent="0.3">
      <c r="E82" s="491">
        <f>$I$60</f>
        <v>0.2</v>
      </c>
      <c r="I82" s="475"/>
      <c r="J82" s="475"/>
      <c r="K82" s="475"/>
      <c r="L82" s="475"/>
      <c r="M82" s="475"/>
      <c r="N82" s="475"/>
      <c r="O82" t="s">
        <v>3</v>
      </c>
    </row>
    <row r="83" spans="2:15" x14ac:dyDescent="0.3">
      <c r="B83" s="487" t="s">
        <v>528</v>
      </c>
      <c r="I83" s="475"/>
      <c r="J83" s="475">
        <f ca="1">-$E$82*J81</f>
        <v>-9.2079087136929498</v>
      </c>
      <c r="K83" s="475">
        <f t="shared" ref="K83:N83" ca="1" si="28">-$E$82*K81</f>
        <v>-10.987127704757155</v>
      </c>
      <c r="L83" s="475">
        <f t="shared" ca="1" si="28"/>
        <v>-12.975638817145654</v>
      </c>
      <c r="M83" s="475">
        <f t="shared" ca="1" si="28"/>
        <v>-15.194422135264418</v>
      </c>
      <c r="N83" s="475">
        <f t="shared" ca="1" si="28"/>
        <v>-17.666399102317616</v>
      </c>
      <c r="O83" t="s">
        <v>3</v>
      </c>
    </row>
    <row r="84" spans="2:15" x14ac:dyDescent="0.3">
      <c r="B84" s="487" t="s">
        <v>384</v>
      </c>
      <c r="I84" s="472"/>
      <c r="J84" s="492">
        <f ca="1">J81+J83</f>
        <v>36.831634854771792</v>
      </c>
      <c r="K84" s="492">
        <f t="shared" ref="K84:N84" ca="1" si="29">K81+K83</f>
        <v>43.948510819028613</v>
      </c>
      <c r="L84" s="492">
        <f t="shared" ca="1" si="29"/>
        <v>51.902555268582617</v>
      </c>
      <c r="M84" s="492">
        <f t="shared" ca="1" si="29"/>
        <v>60.777688541057671</v>
      </c>
      <c r="N84" s="492">
        <f t="shared" ca="1" si="29"/>
        <v>70.665596409270464</v>
      </c>
      <c r="O84" t="s">
        <v>3</v>
      </c>
    </row>
    <row r="85" spans="2:15" x14ac:dyDescent="0.3">
      <c r="O85" t="s">
        <v>3</v>
      </c>
    </row>
    <row r="86" spans="2:15" x14ac:dyDescent="0.3">
      <c r="O86" t="s">
        <v>3</v>
      </c>
    </row>
    <row r="87" spans="2:15" ht="21" x14ac:dyDescent="0.4">
      <c r="B87" s="459" t="s">
        <v>385</v>
      </c>
      <c r="C87" s="460"/>
      <c r="D87" s="460"/>
      <c r="E87" s="460"/>
      <c r="F87" s="460"/>
      <c r="G87" s="460"/>
      <c r="H87" s="460"/>
      <c r="I87" s="460"/>
      <c r="J87" s="460"/>
      <c r="K87" s="460"/>
      <c r="L87" s="460"/>
      <c r="M87" s="460"/>
      <c r="N87" s="460"/>
      <c r="O87" t="s">
        <v>3</v>
      </c>
    </row>
    <row r="88" spans="2:15" x14ac:dyDescent="0.3">
      <c r="O88" t="s">
        <v>3</v>
      </c>
    </row>
    <row r="89" spans="2:15" x14ac:dyDescent="0.3">
      <c r="B89" s="461" t="s">
        <v>507</v>
      </c>
      <c r="I89" s="485">
        <v>0</v>
      </c>
      <c r="J89" s="486">
        <f>I89+1</f>
        <v>1</v>
      </c>
      <c r="K89" s="486">
        <f t="shared" ref="K89:N89" si="30">J89+1</f>
        <v>2</v>
      </c>
      <c r="L89" s="486">
        <f t="shared" si="30"/>
        <v>3</v>
      </c>
      <c r="M89" s="486">
        <f t="shared" si="30"/>
        <v>4</v>
      </c>
      <c r="N89" s="486">
        <f t="shared" si="30"/>
        <v>5</v>
      </c>
      <c r="O89" t="s">
        <v>3</v>
      </c>
    </row>
    <row r="90" spans="2:15" x14ac:dyDescent="0.3">
      <c r="O90" t="s">
        <v>3</v>
      </c>
    </row>
    <row r="91" spans="2:15" x14ac:dyDescent="0.3">
      <c r="B91" t="s">
        <v>384</v>
      </c>
      <c r="I91" s="475"/>
      <c r="J91" s="475">
        <f ca="1">J84</f>
        <v>36.831634854771792</v>
      </c>
      <c r="K91" s="475">
        <f t="shared" ref="K91:N91" ca="1" si="31">K84</f>
        <v>43.948510819028613</v>
      </c>
      <c r="L91" s="475">
        <f t="shared" ca="1" si="31"/>
        <v>51.902555268582617</v>
      </c>
      <c r="M91" s="475">
        <f t="shared" ca="1" si="31"/>
        <v>60.777688541057671</v>
      </c>
      <c r="N91" s="475">
        <f t="shared" ca="1" si="31"/>
        <v>70.665596409270464</v>
      </c>
      <c r="O91" t="s">
        <v>3</v>
      </c>
    </row>
    <row r="92" spans="2:15" x14ac:dyDescent="0.3">
      <c r="B92" t="s">
        <v>259</v>
      </c>
      <c r="I92" s="475"/>
      <c r="J92" s="475">
        <f>-J74</f>
        <v>12.840000000000002</v>
      </c>
      <c r="K92" s="475">
        <f t="shared" ref="K92:N92" si="32">-K74</f>
        <v>13.738800000000001</v>
      </c>
      <c r="L92" s="475">
        <f t="shared" si="32"/>
        <v>14.700516000000002</v>
      </c>
      <c r="M92" s="475">
        <f t="shared" si="32"/>
        <v>15.729552120000003</v>
      </c>
      <c r="N92" s="475">
        <f t="shared" si="32"/>
        <v>16.830620768400006</v>
      </c>
      <c r="O92" t="s">
        <v>3</v>
      </c>
    </row>
    <row r="93" spans="2:15" x14ac:dyDescent="0.3">
      <c r="B93" t="s">
        <v>43</v>
      </c>
      <c r="I93" s="475"/>
      <c r="J93" s="475">
        <f>-$I$56*J68</f>
        <v>-20.544</v>
      </c>
      <c r="K93" s="475">
        <f t="shared" ref="K93:N93" si="33">-$I$56*K68</f>
        <v>-21.98208</v>
      </c>
      <c r="L93" s="475">
        <f t="shared" si="33"/>
        <v>-23.520825600000002</v>
      </c>
      <c r="M93" s="475">
        <f t="shared" si="33"/>
        <v>-25.167283392000005</v>
      </c>
      <c r="N93" s="475">
        <f t="shared" si="33"/>
        <v>-26.928993229440007</v>
      </c>
      <c r="O93" t="s">
        <v>3</v>
      </c>
    </row>
    <row r="94" spans="2:15" x14ac:dyDescent="0.3">
      <c r="B94" t="s">
        <v>529</v>
      </c>
      <c r="I94" s="475"/>
      <c r="J94" s="475">
        <f>J101</f>
        <v>-3.3600000000000065</v>
      </c>
      <c r="K94" s="475">
        <f t="shared" ref="K94:N94" si="34">K101</f>
        <v>-3.5951999999999984</v>
      </c>
      <c r="L94" s="475">
        <f t="shared" si="34"/>
        <v>-3.8468640000000036</v>
      </c>
      <c r="M94" s="475">
        <f t="shared" si="34"/>
        <v>-4.1161444800000027</v>
      </c>
      <c r="N94" s="475">
        <f t="shared" si="34"/>
        <v>-4.4042745936000145</v>
      </c>
      <c r="O94" t="s">
        <v>3</v>
      </c>
    </row>
    <row r="95" spans="2:15" x14ac:dyDescent="0.3">
      <c r="B95" s="487" t="s">
        <v>298</v>
      </c>
      <c r="I95" s="475"/>
      <c r="J95" s="492">
        <f ca="1">SUM(J91:J94)</f>
        <v>25.767634854771789</v>
      </c>
      <c r="K95" s="492">
        <f t="shared" ref="K95:N95" ca="1" si="35">SUM(K91:K94)</f>
        <v>32.110030819028616</v>
      </c>
      <c r="L95" s="492">
        <f t="shared" ca="1" si="35"/>
        <v>39.235381668582619</v>
      </c>
      <c r="M95" s="492">
        <f t="shared" ca="1" si="35"/>
        <v>47.223812789057675</v>
      </c>
      <c r="N95" s="492">
        <f t="shared" ca="1" si="35"/>
        <v>56.162949354630449</v>
      </c>
      <c r="O95" t="s">
        <v>3</v>
      </c>
    </row>
    <row r="96" spans="2:15" x14ac:dyDescent="0.3">
      <c r="B96" t="s">
        <v>530</v>
      </c>
      <c r="I96" s="463"/>
      <c r="J96" s="472">
        <f ca="1">I96+J95</f>
        <v>25.767634854771789</v>
      </c>
      <c r="K96" s="472">
        <f t="shared" ref="K96:N96" ca="1" si="36">J96+K95</f>
        <v>57.877665673800408</v>
      </c>
      <c r="L96" s="472">
        <f t="shared" ca="1" si="36"/>
        <v>97.113047342383027</v>
      </c>
      <c r="M96" s="472">
        <f t="shared" ca="1" si="36"/>
        <v>144.33686013144069</v>
      </c>
      <c r="N96" s="472">
        <f t="shared" ca="1" si="36"/>
        <v>200.49980948607114</v>
      </c>
      <c r="O96" t="s">
        <v>3</v>
      </c>
    </row>
    <row r="97" spans="2:15" x14ac:dyDescent="0.3">
      <c r="O97" t="s">
        <v>3</v>
      </c>
    </row>
    <row r="98" spans="2:15" ht="18" x14ac:dyDescent="0.35">
      <c r="B98" s="493" t="s">
        <v>531</v>
      </c>
      <c r="C98" s="494"/>
      <c r="D98" s="494"/>
      <c r="E98" s="494"/>
      <c r="F98" s="494"/>
      <c r="G98" s="494"/>
      <c r="H98" s="494"/>
      <c r="I98" s="494"/>
      <c r="J98" s="494"/>
      <c r="K98" s="494"/>
      <c r="L98" s="494"/>
      <c r="M98" s="494"/>
      <c r="N98" s="494"/>
      <c r="O98" t="s">
        <v>3</v>
      </c>
    </row>
    <row r="99" spans="2:15" x14ac:dyDescent="0.3">
      <c r="O99" t="s">
        <v>3</v>
      </c>
    </row>
    <row r="100" spans="2:15" x14ac:dyDescent="0.3">
      <c r="B100" t="s">
        <v>529</v>
      </c>
      <c r="I100" s="469">
        <v>48</v>
      </c>
      <c r="J100" s="475">
        <f>$I$59*J68</f>
        <v>51.360000000000007</v>
      </c>
      <c r="K100" s="475">
        <f t="shared" ref="K100:N100" si="37">$I$59*K68</f>
        <v>54.955200000000005</v>
      </c>
      <c r="L100" s="475">
        <f t="shared" si="37"/>
        <v>58.802064000000009</v>
      </c>
      <c r="M100" s="475">
        <f t="shared" si="37"/>
        <v>62.918208480000011</v>
      </c>
      <c r="N100" s="475">
        <f t="shared" si="37"/>
        <v>67.322483073600026</v>
      </c>
      <c r="O100" t="s">
        <v>3</v>
      </c>
    </row>
    <row r="101" spans="2:15" x14ac:dyDescent="0.3">
      <c r="B101" t="s">
        <v>388</v>
      </c>
      <c r="J101" s="492">
        <f>I100-J100</f>
        <v>-3.3600000000000065</v>
      </c>
      <c r="K101" s="492">
        <f t="shared" ref="K101:N101" si="38">J100-K100</f>
        <v>-3.5951999999999984</v>
      </c>
      <c r="L101" s="492">
        <f t="shared" si="38"/>
        <v>-3.8468640000000036</v>
      </c>
      <c r="M101" s="492">
        <f t="shared" si="38"/>
        <v>-4.1161444800000027</v>
      </c>
      <c r="N101" s="492">
        <f t="shared" si="38"/>
        <v>-4.4042745936000145</v>
      </c>
      <c r="O101" s="487" t="s">
        <v>3</v>
      </c>
    </row>
    <row r="102" spans="2:15" x14ac:dyDescent="0.3">
      <c r="O102" t="s">
        <v>3</v>
      </c>
    </row>
    <row r="103" spans="2:15" ht="18" x14ac:dyDescent="0.35">
      <c r="B103" s="460" t="s">
        <v>547</v>
      </c>
      <c r="C103" s="460"/>
      <c r="D103" s="460"/>
      <c r="E103" s="460"/>
      <c r="F103" s="460"/>
      <c r="G103" s="460"/>
      <c r="H103" s="460"/>
      <c r="I103" s="460"/>
      <c r="J103" s="460"/>
      <c r="K103" s="460"/>
      <c r="L103" s="460"/>
      <c r="M103" s="460"/>
      <c r="N103" s="460"/>
    </row>
    <row r="105" spans="2:15" x14ac:dyDescent="0.3">
      <c r="B105" t="s">
        <v>549</v>
      </c>
      <c r="J105" s="475">
        <f>H48</f>
        <v>500</v>
      </c>
      <c r="K105" s="475">
        <f ca="1">J107</f>
        <v>474.23236514522819</v>
      </c>
      <c r="L105" s="475">
        <f t="shared" ref="L105:N105" ca="1" si="39">K107</f>
        <v>442.12233432619956</v>
      </c>
      <c r="M105" s="475">
        <f t="shared" ca="1" si="39"/>
        <v>402.88695265761692</v>
      </c>
      <c r="N105" s="475">
        <f t="shared" ca="1" si="39"/>
        <v>355.66313986855926</v>
      </c>
      <c r="O105" t="s">
        <v>3</v>
      </c>
    </row>
    <row r="106" spans="2:15" x14ac:dyDescent="0.3">
      <c r="B106" t="s">
        <v>548</v>
      </c>
      <c r="J106" s="475">
        <f ca="1">-J95</f>
        <v>-25.767634854771789</v>
      </c>
      <c r="K106" s="475">
        <f ca="1">-K95</f>
        <v>-32.110030819028616</v>
      </c>
      <c r="L106" s="475">
        <f ca="1">-L95</f>
        <v>-39.235381668582619</v>
      </c>
      <c r="M106" s="475">
        <f ca="1">-M95</f>
        <v>-47.223812789057675</v>
      </c>
      <c r="N106" s="475">
        <f ca="1">-N95</f>
        <v>-56.162949354630449</v>
      </c>
      <c r="O106" t="s">
        <v>3</v>
      </c>
    </row>
    <row r="107" spans="2:15" x14ac:dyDescent="0.3">
      <c r="B107" t="s">
        <v>532</v>
      </c>
      <c r="J107" s="475">
        <f ca="1">SUM(J105:J106)</f>
        <v>474.23236514522819</v>
      </c>
      <c r="K107" s="475">
        <f ca="1">SUM(K105:K106)</f>
        <v>442.12233432619956</v>
      </c>
      <c r="L107" s="475">
        <f t="shared" ref="L107:N107" ca="1" si="40">SUM(L105:L106)</f>
        <v>402.88695265761692</v>
      </c>
      <c r="M107" s="475">
        <f t="shared" ca="1" si="40"/>
        <v>355.66313986855926</v>
      </c>
      <c r="N107" s="475">
        <f t="shared" ca="1" si="40"/>
        <v>299.50019051392883</v>
      </c>
    </row>
    <row r="108" spans="2:15" x14ac:dyDescent="0.3">
      <c r="J108" s="489"/>
      <c r="K108" s="489"/>
      <c r="L108" s="489"/>
      <c r="M108" s="489"/>
      <c r="N108" s="489"/>
    </row>
    <row r="109" spans="2:15" x14ac:dyDescent="0.3">
      <c r="B109" t="s">
        <v>185</v>
      </c>
      <c r="J109" s="495">
        <f>$I$58</f>
        <v>0.09</v>
      </c>
      <c r="K109" s="495">
        <f t="shared" ref="K109:N109" si="41">$I$58</f>
        <v>0.09</v>
      </c>
      <c r="L109" s="495">
        <f t="shared" si="41"/>
        <v>0.09</v>
      </c>
      <c r="M109" s="495">
        <f t="shared" si="41"/>
        <v>0.09</v>
      </c>
      <c r="N109" s="495">
        <f t="shared" si="41"/>
        <v>0.09</v>
      </c>
    </row>
    <row r="110" spans="2:15" x14ac:dyDescent="0.3">
      <c r="B110" s="487" t="s">
        <v>192</v>
      </c>
      <c r="J110" s="496">
        <f ca="1">AVERAGE(J105,J107)*J109</f>
        <v>43.840456431535266</v>
      </c>
      <c r="K110" s="496">
        <f ca="1">AVERAGE(K105,K107)*K109</f>
        <v>41.235961476214243</v>
      </c>
      <c r="L110" s="496">
        <f ca="1">AVERAGE(L105,L107)*L109</f>
        <v>38.025417914271742</v>
      </c>
      <c r="M110" s="496">
        <f ca="1">AVERAGE(M105,M107)*M109</f>
        <v>34.134754163677925</v>
      </c>
      <c r="N110" s="496">
        <f ca="1">AVERAGE(N105,N107)*N109</f>
        <v>29.482349867211962</v>
      </c>
      <c r="O110" s="475"/>
    </row>
    <row r="111" spans="2:15" x14ac:dyDescent="0.3">
      <c r="O111" t="s">
        <v>3</v>
      </c>
    </row>
    <row r="112" spans="2:15" x14ac:dyDescent="0.3">
      <c r="O112" t="s">
        <v>3</v>
      </c>
    </row>
    <row r="113" spans="2:15" ht="21" x14ac:dyDescent="0.4">
      <c r="B113" s="459" t="s">
        <v>533</v>
      </c>
      <c r="C113" s="460"/>
      <c r="D113" s="460"/>
      <c r="E113" s="460"/>
      <c r="F113" s="460"/>
      <c r="G113" s="460"/>
      <c r="H113" s="460"/>
      <c r="I113" s="460"/>
      <c r="J113" s="460"/>
      <c r="K113" s="460"/>
      <c r="L113" s="460"/>
      <c r="M113" s="460"/>
      <c r="N113" s="460"/>
      <c r="O113" t="s">
        <v>3</v>
      </c>
    </row>
    <row r="114" spans="2:15" x14ac:dyDescent="0.3">
      <c r="O114" t="s">
        <v>3</v>
      </c>
    </row>
    <row r="115" spans="2:15" x14ac:dyDescent="0.3">
      <c r="B115" s="462" t="s">
        <v>534</v>
      </c>
      <c r="C115" s="462"/>
      <c r="D115" s="462"/>
      <c r="E115" s="487"/>
      <c r="G115" s="462" t="s">
        <v>535</v>
      </c>
      <c r="H115" s="463"/>
      <c r="I115" s="463"/>
      <c r="K115" s="462" t="s">
        <v>536</v>
      </c>
      <c r="L115" s="463"/>
      <c r="M115" s="463"/>
      <c r="O115" t="s">
        <v>3</v>
      </c>
    </row>
    <row r="116" spans="2:15" x14ac:dyDescent="0.3">
      <c r="B116" t="s">
        <v>537</v>
      </c>
      <c r="D116" s="475">
        <f>(N71-I71)*D47</f>
        <v>367.12717839840047</v>
      </c>
      <c r="E116" s="497">
        <f ca="1">D116/$D$119</f>
        <v>0.64677541102594893</v>
      </c>
      <c r="G116" t="s">
        <v>538</v>
      </c>
      <c r="I116" s="475">
        <f>N71</f>
        <v>134.64496614720005</v>
      </c>
      <c r="K116" t="s">
        <v>539</v>
      </c>
      <c r="M116" s="475">
        <f ca="1">I122</f>
        <v>979.62698788447165</v>
      </c>
      <c r="O116" t="s">
        <v>3</v>
      </c>
    </row>
    <row r="117" spans="2:15" x14ac:dyDescent="0.3">
      <c r="B117" t="s">
        <v>540</v>
      </c>
      <c r="D117" s="475">
        <f>(D48-D47)*N71</f>
        <v>0</v>
      </c>
      <c r="E117" s="489">
        <f t="shared" ref="E117:E119" ca="1" si="42">D117/$D$119</f>
        <v>0</v>
      </c>
      <c r="G117" t="s">
        <v>485</v>
      </c>
      <c r="I117" s="498">
        <f>D48</f>
        <v>9.5</v>
      </c>
      <c r="K117" t="s">
        <v>541</v>
      </c>
      <c r="M117" s="475">
        <f>H49</f>
        <v>412</v>
      </c>
      <c r="O117" t="s">
        <v>3</v>
      </c>
    </row>
    <row r="118" spans="2:15" x14ac:dyDescent="0.3">
      <c r="B118" s="463" t="s">
        <v>542</v>
      </c>
      <c r="C118" s="463"/>
      <c r="D118" s="472">
        <f ca="1">D119-SUM(D116:D117)</f>
        <v>200.49980948607117</v>
      </c>
      <c r="E118" s="495">
        <f t="shared" ca="1" si="42"/>
        <v>0.35322458897405107</v>
      </c>
      <c r="G118" t="s">
        <v>543</v>
      </c>
      <c r="I118" s="475">
        <f>I116*I117</f>
        <v>1279.1271783984005</v>
      </c>
      <c r="K118" t="s">
        <v>544</v>
      </c>
      <c r="M118" s="486">
        <f>N89</f>
        <v>5</v>
      </c>
      <c r="O118" t="s">
        <v>3</v>
      </c>
    </row>
    <row r="119" spans="2:15" ht="15" thickBot="1" x14ac:dyDescent="0.35">
      <c r="B119" t="s">
        <v>514</v>
      </c>
      <c r="D119" s="475">
        <f ca="1">M116-M117</f>
        <v>567.62698788447165</v>
      </c>
      <c r="E119" s="489">
        <f t="shared" ca="1" si="42"/>
        <v>1</v>
      </c>
      <c r="G119" t="s">
        <v>512</v>
      </c>
      <c r="I119" s="475">
        <f ca="1">N107</f>
        <v>299.50019051392883</v>
      </c>
      <c r="O119" t="s">
        <v>3</v>
      </c>
    </row>
    <row r="120" spans="2:15" x14ac:dyDescent="0.3">
      <c r="G120" t="s">
        <v>47</v>
      </c>
      <c r="I120" s="469">
        <v>0</v>
      </c>
      <c r="K120" s="478" t="s">
        <v>68</v>
      </c>
      <c r="L120" s="479"/>
      <c r="M120" s="480">
        <f ca="1">(M116/M117)^(1/M118)-1</f>
        <v>0.18913922499980607</v>
      </c>
      <c r="O120" t="s">
        <v>3</v>
      </c>
    </row>
    <row r="121" spans="2:15" ht="15" thickBot="1" x14ac:dyDescent="0.35">
      <c r="B121" s="488" t="s">
        <v>545</v>
      </c>
      <c r="C121" s="488" t="str">
        <f ca="1">IF(I122-H49=D119,"OK","Error")</f>
        <v>OK</v>
      </c>
      <c r="G121" t="s">
        <v>546</v>
      </c>
      <c r="I121" s="475">
        <f ca="1">SUM(I119:I120)</f>
        <v>299.50019051392883</v>
      </c>
      <c r="K121" s="482" t="s">
        <v>69</v>
      </c>
      <c r="L121" s="483"/>
      <c r="M121" s="484">
        <f ca="1">M116/M117</f>
        <v>2.3777354074865817</v>
      </c>
    </row>
    <row r="122" spans="2:15" x14ac:dyDescent="0.3">
      <c r="G122" s="487" t="s">
        <v>539</v>
      </c>
      <c r="H122" s="487"/>
      <c r="I122" s="492">
        <f ca="1">I118-I121</f>
        <v>979.62698788447165</v>
      </c>
      <c r="O122" t="s">
        <v>3</v>
      </c>
    </row>
    <row r="123" spans="2:15" x14ac:dyDescent="0.3">
      <c r="O123" t="s">
        <v>3</v>
      </c>
    </row>
    <row r="124" spans="2:15" x14ac:dyDescent="0.3">
      <c r="O124" t="s">
        <v>3</v>
      </c>
    </row>
    <row r="125" spans="2:15" x14ac:dyDescent="0.3">
      <c r="I125" s="475"/>
      <c r="O125" t="s">
        <v>3</v>
      </c>
    </row>
    <row r="126" spans="2:15" x14ac:dyDescent="0.3">
      <c r="O126" t="s">
        <v>3</v>
      </c>
    </row>
    <row r="127" spans="2:15" x14ac:dyDescent="0.3">
      <c r="O127" t="s">
        <v>3</v>
      </c>
    </row>
    <row r="128" spans="2:15" x14ac:dyDescent="0.3">
      <c r="O128" t="s">
        <v>3</v>
      </c>
    </row>
    <row r="129" spans="2:15" x14ac:dyDescent="0.3">
      <c r="O129" t="s">
        <v>3</v>
      </c>
    </row>
    <row r="130" spans="2:15" x14ac:dyDescent="0.3">
      <c r="B130" s="463"/>
      <c r="C130" s="463"/>
      <c r="D130" s="463"/>
      <c r="E130" s="463"/>
      <c r="F130" s="463"/>
      <c r="G130" s="463"/>
      <c r="H130" s="463"/>
      <c r="I130" s="463"/>
      <c r="J130" s="463"/>
      <c r="K130" s="463"/>
      <c r="L130" s="463"/>
      <c r="M130" s="463"/>
      <c r="N130" s="463"/>
      <c r="O130" t="s">
        <v>3</v>
      </c>
    </row>
    <row r="131" spans="2:15" x14ac:dyDescent="0.3">
      <c r="O131" t="s">
        <v>3</v>
      </c>
    </row>
    <row r="132" spans="2:15" x14ac:dyDescent="0.3">
      <c r="O132" t="s">
        <v>3</v>
      </c>
    </row>
    <row r="133" spans="2:15" x14ac:dyDescent="0.3">
      <c r="O133" t="s">
        <v>3</v>
      </c>
    </row>
    <row r="134" spans="2:15" x14ac:dyDescent="0.3">
      <c r="O134" t="s">
        <v>3</v>
      </c>
    </row>
    <row r="135" spans="2:15" x14ac:dyDescent="0.3">
      <c r="O135" t="s">
        <v>3</v>
      </c>
    </row>
    <row r="136" spans="2:15" x14ac:dyDescent="0.3">
      <c r="O136" t="s">
        <v>3</v>
      </c>
    </row>
    <row r="137" spans="2:15" x14ac:dyDescent="0.3">
      <c r="O137" t="s">
        <v>3</v>
      </c>
    </row>
    <row r="138" spans="2:15" x14ac:dyDescent="0.3">
      <c r="O138" t="s">
        <v>3</v>
      </c>
    </row>
    <row r="139" spans="2:15" x14ac:dyDescent="0.3">
      <c r="O139" t="s">
        <v>3</v>
      </c>
    </row>
    <row r="140" spans="2:15" x14ac:dyDescent="0.3">
      <c r="O140" t="s">
        <v>3</v>
      </c>
    </row>
    <row r="141" spans="2:15" x14ac:dyDescent="0.3">
      <c r="O141" t="s">
        <v>3</v>
      </c>
    </row>
    <row r="142" spans="2:15" x14ac:dyDescent="0.3">
      <c r="O142" t="s">
        <v>3</v>
      </c>
    </row>
    <row r="143" spans="2:15" x14ac:dyDescent="0.3">
      <c r="O143" t="s">
        <v>3</v>
      </c>
    </row>
    <row r="144" spans="2:15" x14ac:dyDescent="0.3">
      <c r="O144" t="s">
        <v>3</v>
      </c>
    </row>
    <row r="145" spans="15:15" x14ac:dyDescent="0.3">
      <c r="O145" t="s">
        <v>3</v>
      </c>
    </row>
    <row r="146" spans="15:15" x14ac:dyDescent="0.3">
      <c r="O146" t="s">
        <v>3</v>
      </c>
    </row>
    <row r="147" spans="15:15" x14ac:dyDescent="0.3">
      <c r="O147" t="s">
        <v>3</v>
      </c>
    </row>
    <row r="148" spans="15:15" x14ac:dyDescent="0.3">
      <c r="O148" t="s">
        <v>3</v>
      </c>
    </row>
    <row r="149" spans="15:15" x14ac:dyDescent="0.3">
      <c r="O149" t="s">
        <v>3</v>
      </c>
    </row>
    <row r="150" spans="15:15" x14ac:dyDescent="0.3">
      <c r="O150" t="s">
        <v>3</v>
      </c>
    </row>
    <row r="151" spans="15:15" x14ac:dyDescent="0.3">
      <c r="O151" t="s">
        <v>3</v>
      </c>
    </row>
    <row r="152" spans="15:15" x14ac:dyDescent="0.3">
      <c r="O152" t="s">
        <v>3</v>
      </c>
    </row>
    <row r="153" spans="15:15" x14ac:dyDescent="0.3">
      <c r="O153" t="s">
        <v>3</v>
      </c>
    </row>
    <row r="154" spans="15:15" x14ac:dyDescent="0.3">
      <c r="O154" t="s">
        <v>3</v>
      </c>
    </row>
    <row r="155" spans="15:15" x14ac:dyDescent="0.3">
      <c r="O155" t="s">
        <v>3</v>
      </c>
    </row>
    <row r="156" spans="15:15" x14ac:dyDescent="0.3">
      <c r="O156" t="s">
        <v>3</v>
      </c>
    </row>
    <row r="157" spans="15:15" x14ac:dyDescent="0.3">
      <c r="O157" t="s">
        <v>3</v>
      </c>
    </row>
    <row r="158" spans="15:15" x14ac:dyDescent="0.3">
      <c r="O158" t="s">
        <v>3</v>
      </c>
    </row>
    <row r="159" spans="15:15" x14ac:dyDescent="0.3">
      <c r="O159" t="s">
        <v>3</v>
      </c>
    </row>
    <row r="160" spans="15:15" x14ac:dyDescent="0.3">
      <c r="O160" t="s">
        <v>3</v>
      </c>
    </row>
    <row r="161" spans="15:15" x14ac:dyDescent="0.3">
      <c r="O161" t="s">
        <v>3</v>
      </c>
    </row>
    <row r="162" spans="15:15" x14ac:dyDescent="0.3">
      <c r="O162" t="s">
        <v>3</v>
      </c>
    </row>
    <row r="163" spans="15:15" x14ac:dyDescent="0.3">
      <c r="O163" t="s">
        <v>3</v>
      </c>
    </row>
    <row r="164" spans="15:15" x14ac:dyDescent="0.3">
      <c r="O164" t="s">
        <v>3</v>
      </c>
    </row>
    <row r="165" spans="15:15" x14ac:dyDescent="0.3">
      <c r="O165" t="s">
        <v>3</v>
      </c>
    </row>
    <row r="166" spans="15:15" x14ac:dyDescent="0.3">
      <c r="O166" t="s">
        <v>3</v>
      </c>
    </row>
    <row r="167" spans="15:15" x14ac:dyDescent="0.3">
      <c r="O167" t="s">
        <v>3</v>
      </c>
    </row>
    <row r="168" spans="15:15" x14ac:dyDescent="0.3">
      <c r="O168" t="s">
        <v>3</v>
      </c>
    </row>
    <row r="169" spans="15:15" x14ac:dyDescent="0.3">
      <c r="O169" t="s">
        <v>3</v>
      </c>
    </row>
    <row r="170" spans="15:15" x14ac:dyDescent="0.3">
      <c r="O170" t="s">
        <v>3</v>
      </c>
    </row>
    <row r="171" spans="15:15" x14ac:dyDescent="0.3">
      <c r="O171" t="s">
        <v>3</v>
      </c>
    </row>
    <row r="172" spans="15:15" x14ac:dyDescent="0.3">
      <c r="O172" t="s">
        <v>3</v>
      </c>
    </row>
    <row r="173" spans="15:15" x14ac:dyDescent="0.3">
      <c r="O173" t="s">
        <v>3</v>
      </c>
    </row>
    <row r="174" spans="15:15" x14ac:dyDescent="0.3">
      <c r="O174" t="s">
        <v>3</v>
      </c>
    </row>
    <row r="175" spans="15:15" x14ac:dyDescent="0.3">
      <c r="O175" t="s">
        <v>3</v>
      </c>
    </row>
    <row r="176" spans="15:15" x14ac:dyDescent="0.3">
      <c r="O176" t="s">
        <v>3</v>
      </c>
    </row>
    <row r="177" spans="15:15" x14ac:dyDescent="0.3">
      <c r="O177" t="s">
        <v>3</v>
      </c>
    </row>
    <row r="178" spans="15:15" x14ac:dyDescent="0.3">
      <c r="O178" t="s">
        <v>3</v>
      </c>
    </row>
    <row r="179" spans="15:15" x14ac:dyDescent="0.3">
      <c r="O179" t="s">
        <v>3</v>
      </c>
    </row>
    <row r="180" spans="15:15" x14ac:dyDescent="0.3">
      <c r="O180" t="s">
        <v>3</v>
      </c>
    </row>
    <row r="181" spans="15:15" x14ac:dyDescent="0.3">
      <c r="O181" t="s">
        <v>3</v>
      </c>
    </row>
    <row r="182" spans="15:15" x14ac:dyDescent="0.3">
      <c r="O182" t="s">
        <v>3</v>
      </c>
    </row>
    <row r="183" spans="15:15" x14ac:dyDescent="0.3">
      <c r="O183" t="s">
        <v>3</v>
      </c>
    </row>
    <row r="184" spans="15:15" x14ac:dyDescent="0.3">
      <c r="O184" t="s">
        <v>3</v>
      </c>
    </row>
  </sheetData>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6E2AF-E9C0-4E1E-810D-DC6ACF9A970B}">
  <dimension ref="B1:P18"/>
  <sheetViews>
    <sheetView showGridLines="0" zoomScaleNormal="100" workbookViewId="0">
      <selection activeCell="B2" sqref="B2"/>
    </sheetView>
  </sheetViews>
  <sheetFormatPr defaultColWidth="8.88671875" defaultRowHeight="14.85" customHeight="1" x14ac:dyDescent="0.3"/>
  <cols>
    <col min="1" max="1" width="4.6640625" style="66" customWidth="1"/>
    <col min="2" max="16384" width="8.88671875" style="66"/>
  </cols>
  <sheetData>
    <row r="1" spans="2:16" ht="14.85" customHeight="1" thickBot="1" x14ac:dyDescent="0.35"/>
    <row r="2" spans="2:16" ht="14.85" customHeight="1" x14ac:dyDescent="0.3">
      <c r="B2" s="68"/>
      <c r="C2" s="1"/>
      <c r="D2" s="1"/>
      <c r="E2" s="1"/>
      <c r="F2" s="1"/>
      <c r="G2" s="1"/>
      <c r="H2" s="1"/>
      <c r="I2" s="1"/>
      <c r="J2" s="1"/>
      <c r="K2" s="2"/>
    </row>
    <row r="3" spans="2:16" ht="31.2" x14ac:dyDescent="0.6">
      <c r="B3" s="3"/>
      <c r="D3" s="455" t="s">
        <v>0</v>
      </c>
      <c r="E3" s="345"/>
      <c r="F3" s="345"/>
      <c r="G3" s="345"/>
      <c r="H3" s="345"/>
      <c r="K3" s="4"/>
    </row>
    <row r="4" spans="2:16" ht="14.85" customHeight="1" x14ac:dyDescent="0.3">
      <c r="B4" s="3"/>
      <c r="K4" s="4"/>
    </row>
    <row r="5" spans="2:16" ht="14.85" customHeight="1" x14ac:dyDescent="0.3">
      <c r="B5" s="3"/>
      <c r="K5" s="4"/>
      <c r="O5"/>
    </row>
    <row r="6" spans="2:16" ht="14.85" customHeight="1" x14ac:dyDescent="0.3">
      <c r="B6" s="3"/>
      <c r="C6"/>
      <c r="K6" s="4"/>
      <c r="M6"/>
      <c r="O6"/>
    </row>
    <row r="7" spans="2:16" ht="14.85" customHeight="1" x14ac:dyDescent="0.3">
      <c r="B7" s="3"/>
      <c r="K7" s="4"/>
      <c r="M7"/>
    </row>
    <row r="8" spans="2:16" ht="14.85" customHeight="1" x14ac:dyDescent="0.3">
      <c r="B8" s="3"/>
      <c r="K8" s="4"/>
    </row>
    <row r="9" spans="2:16" ht="14.85" customHeight="1" x14ac:dyDescent="0.3">
      <c r="B9" s="3"/>
      <c r="K9" s="4"/>
    </row>
    <row r="10" spans="2:16" ht="14.85" customHeight="1" x14ac:dyDescent="0.3">
      <c r="B10" s="3"/>
      <c r="J10"/>
      <c r="K10" s="4"/>
    </row>
    <row r="11" spans="2:16" ht="14.85" customHeight="1" x14ac:dyDescent="0.3">
      <c r="B11" s="3"/>
      <c r="K11" s="4"/>
      <c r="M11"/>
    </row>
    <row r="12" spans="2:16" ht="14.85" customHeight="1" x14ac:dyDescent="0.3">
      <c r="B12" s="3"/>
      <c r="K12" s="4"/>
      <c r="P12"/>
    </row>
    <row r="13" spans="2:16" ht="14.85" customHeight="1" x14ac:dyDescent="0.3">
      <c r="B13" s="3"/>
      <c r="K13" s="4"/>
    </row>
    <row r="14" spans="2:16" ht="14.85" customHeight="1" x14ac:dyDescent="0.3">
      <c r="B14" s="3"/>
      <c r="G14"/>
      <c r="K14" s="4"/>
    </row>
    <row r="15" spans="2:16" ht="14.85" customHeight="1" x14ac:dyDescent="0.3">
      <c r="B15" s="3"/>
      <c r="K15" s="4"/>
    </row>
    <row r="16" spans="2:16" ht="14.85" customHeight="1" x14ac:dyDescent="0.3">
      <c r="B16" s="3"/>
      <c r="K16" s="4"/>
    </row>
    <row r="17" spans="2:11" ht="14.85" customHeight="1" x14ac:dyDescent="0.3">
      <c r="B17" s="454" t="s">
        <v>1</v>
      </c>
      <c r="K17" s="4"/>
    </row>
    <row r="18" spans="2:11" ht="14.85" customHeight="1" thickBot="1" x14ac:dyDescent="0.35">
      <c r="B18" s="456" t="s">
        <v>2</v>
      </c>
      <c r="C18" s="5"/>
      <c r="D18" s="5"/>
      <c r="E18" s="5"/>
      <c r="F18" s="5"/>
      <c r="G18" s="5"/>
      <c r="H18" s="5"/>
      <c r="I18" s="5"/>
      <c r="J18" s="5"/>
      <c r="K18" s="6"/>
    </row>
  </sheetData>
  <hyperlinks>
    <hyperlink ref="B17" r:id="rId1" xr:uid="{75ECC0B5-7B42-46F6-9BE8-31E8318FA9C1}"/>
    <hyperlink ref="B18" r:id="rId2" xr:uid="{6D61EB87-2DF8-4FB3-B480-31D2E5DA387D}"/>
  </hyperlinks>
  <pageMargins left="0.7" right="0.7" top="0.75" bottom="0.75" header="0.3" footer="0.3"/>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C83D9-467C-4048-9F7A-F1013D24392E}">
  <dimension ref="A2:Z151"/>
  <sheetViews>
    <sheetView showGridLines="0" zoomScaleNormal="100" workbookViewId="0">
      <selection activeCell="B2" sqref="B2"/>
    </sheetView>
  </sheetViews>
  <sheetFormatPr defaultColWidth="8.88671875" defaultRowHeight="14.4" outlineLevelRow="1" x14ac:dyDescent="0.3"/>
  <cols>
    <col min="1" max="1" width="4.6640625" style="66" customWidth="1"/>
    <col min="2" max="13" width="12.33203125" style="66" customWidth="1"/>
    <col min="14" max="16" width="10.6640625" style="66" customWidth="1"/>
    <col min="17" max="17" width="9" style="66" customWidth="1"/>
    <col min="18" max="18" width="8.88671875" style="66" customWidth="1"/>
    <col min="19" max="21" width="9.33203125" style="66" customWidth="1"/>
    <col min="22" max="22" width="9" style="66" customWidth="1"/>
    <col min="23" max="27" width="8.88671875" style="66" customWidth="1"/>
    <col min="28" max="16384" width="8.88671875" style="66"/>
  </cols>
  <sheetData>
    <row r="2" spans="1:15" ht="18" x14ac:dyDescent="0.35">
      <c r="A2" s="66" t="s">
        <v>3</v>
      </c>
      <c r="B2" s="7" t="s">
        <v>4</v>
      </c>
      <c r="C2" s="74"/>
      <c r="D2" s="74"/>
      <c r="F2" s="7" t="s">
        <v>5</v>
      </c>
      <c r="G2" s="74"/>
      <c r="H2" s="74"/>
      <c r="I2" s="74"/>
      <c r="J2" s="74"/>
      <c r="K2" s="74"/>
      <c r="L2" s="74"/>
      <c r="M2" s="74"/>
      <c r="N2" s="74"/>
      <c r="O2" s="74"/>
    </row>
    <row r="3" spans="1:15" outlineLevel="1" x14ac:dyDescent="0.3"/>
    <row r="4" spans="1:15" outlineLevel="1" x14ac:dyDescent="0.3">
      <c r="B4" s="260" t="s">
        <v>6</v>
      </c>
    </row>
    <row r="5" spans="1:15" outlineLevel="1" x14ac:dyDescent="0.3"/>
    <row r="6" spans="1:15" outlineLevel="1" x14ac:dyDescent="0.3">
      <c r="B6" s="8" t="s">
        <v>7</v>
      </c>
      <c r="C6" s="186"/>
      <c r="D6" s="9"/>
      <c r="F6" s="8" t="s">
        <v>8</v>
      </c>
      <c r="G6" s="10"/>
      <c r="H6" s="11"/>
      <c r="I6" s="12" t="s">
        <v>9</v>
      </c>
      <c r="J6" s="12" t="s">
        <v>10</v>
      </c>
      <c r="L6" s="8" t="s">
        <v>11</v>
      </c>
      <c r="M6" s="9"/>
      <c r="N6" s="12"/>
    </row>
    <row r="7" spans="1:15" outlineLevel="1" x14ac:dyDescent="0.3">
      <c r="B7" s="13" t="s">
        <v>12</v>
      </c>
      <c r="D7" s="366">
        <f ca="1">'FS Transaction Details'!C7</f>
        <v>22.735518775876436</v>
      </c>
      <c r="F7" s="15" t="s">
        <v>13</v>
      </c>
      <c r="G7" s="16"/>
      <c r="H7" s="16"/>
      <c r="I7" s="373">
        <f ca="1">'FS Transaction Details'!I7</f>
        <v>1.2017368673637816</v>
      </c>
      <c r="J7" s="374">
        <f ca="1">'FS Transaction Details'!J7</f>
        <v>23455.306910255698</v>
      </c>
      <c r="L7" s="13" t="s">
        <v>14</v>
      </c>
      <c r="M7" s="18"/>
      <c r="N7" s="374">
        <f>'FS Transaction Details'!N7</f>
        <v>620662.99920000008</v>
      </c>
    </row>
    <row r="8" spans="1:15" outlineLevel="1" x14ac:dyDescent="0.3">
      <c r="B8" s="13" t="s">
        <v>15</v>
      </c>
      <c r="D8" s="366">
        <f>'FS Transaction Details'!C8</f>
        <v>22.731089896871033</v>
      </c>
      <c r="F8" s="19" t="s">
        <v>16</v>
      </c>
      <c r="G8" s="16"/>
      <c r="H8" s="16"/>
      <c r="I8" s="373">
        <f>'FS Transaction Details'!I8</f>
        <v>2</v>
      </c>
      <c r="J8" s="374">
        <f>'FS Transaction Details'!J8</f>
        <v>55678.256727940316</v>
      </c>
      <c r="L8" s="22" t="s">
        <v>17</v>
      </c>
      <c r="M8" s="16"/>
      <c r="N8" s="378">
        <f>'FS Transaction Details'!N8</f>
        <v>45729.333333333336</v>
      </c>
    </row>
    <row r="9" spans="1:15" outlineLevel="1" x14ac:dyDescent="0.3">
      <c r="B9" s="13" t="s">
        <v>18</v>
      </c>
      <c r="D9" s="367">
        <f>'FS Transaction Details'!C9</f>
        <v>27839.128363970158</v>
      </c>
      <c r="F9" s="23" t="s">
        <v>19</v>
      </c>
      <c r="G9" s="16"/>
      <c r="H9" s="16"/>
      <c r="I9" s="373">
        <f>'FS Transaction Details'!I9</f>
        <v>6.75</v>
      </c>
      <c r="J9" s="374">
        <f>'FS Transaction Details'!J9</f>
        <v>187914.11645679857</v>
      </c>
      <c r="L9" s="22" t="s">
        <v>20</v>
      </c>
      <c r="M9" s="24"/>
      <c r="N9" s="367">
        <f>'FS Transaction Details'!N9</f>
        <v>17901.449626784852</v>
      </c>
    </row>
    <row r="10" spans="1:15" outlineLevel="1" x14ac:dyDescent="0.3">
      <c r="F10" s="23" t="s">
        <v>21</v>
      </c>
      <c r="G10" s="16"/>
      <c r="H10" s="16"/>
      <c r="I10" s="373">
        <f>'FS Transaction Details'!I10</f>
        <v>4.75</v>
      </c>
      <c r="J10" s="374">
        <f>'FS Transaction Details'!J10</f>
        <v>132235.85972885825</v>
      </c>
      <c r="L10" s="25" t="s">
        <v>22</v>
      </c>
      <c r="M10" s="26"/>
      <c r="N10" s="377">
        <f>'FS Transaction Details'!N10</f>
        <v>684293.78216011834</v>
      </c>
    </row>
    <row r="11" spans="1:15" outlineLevel="1" x14ac:dyDescent="0.3">
      <c r="B11" s="8" t="s">
        <v>23</v>
      </c>
      <c r="C11" s="186"/>
      <c r="D11" s="368"/>
      <c r="F11" s="23" t="s">
        <v>24</v>
      </c>
      <c r="G11" s="16"/>
      <c r="H11" s="16"/>
      <c r="I11" s="373">
        <f>'FS Transaction Details'!I11</f>
        <v>3.75</v>
      </c>
      <c r="J11" s="374">
        <f>'FS Transaction Details'!J11</f>
        <v>104396.7313648881</v>
      </c>
    </row>
    <row r="12" spans="1:15" outlineLevel="1" x14ac:dyDescent="0.3">
      <c r="B12" s="19" t="s">
        <v>14</v>
      </c>
      <c r="D12" s="367">
        <f>'FS Transaction Details'!C13</f>
        <v>620662.99920000008</v>
      </c>
      <c r="F12" s="15" t="s">
        <v>25</v>
      </c>
      <c r="G12" s="16"/>
      <c r="H12" s="372">
        <f>'FS Transaction Details'!H12</f>
        <v>2.5000000000000001E-2</v>
      </c>
      <c r="I12" s="373">
        <f>'FS Transaction Details'!I12</f>
        <v>0.55736568965577959</v>
      </c>
      <c r="J12" s="367">
        <f>'FS Transaction Details'!J12</f>
        <v>15516.574980000003</v>
      </c>
    </row>
    <row r="13" spans="1:15" outlineLevel="1" x14ac:dyDescent="0.3">
      <c r="B13" s="19" t="s">
        <v>26</v>
      </c>
      <c r="D13" s="240">
        <f ca="1">'FS Transaction Details'!C16</f>
        <v>12274.026423077637</v>
      </c>
      <c r="F13" s="15" t="s">
        <v>27</v>
      </c>
      <c r="G13" s="16"/>
      <c r="H13" s="16"/>
      <c r="I13" s="375">
        <f ca="1">'FS Transaction Details'!I13</f>
        <v>5.5711850588004168</v>
      </c>
      <c r="J13" s="374">
        <f ca="1">'FS Transaction Details'!J13</f>
        <v>165096.93599137745</v>
      </c>
      <c r="L13" s="17"/>
    </row>
    <row r="14" spans="1:15" outlineLevel="1" x14ac:dyDescent="0.3">
      <c r="B14" s="19" t="s">
        <v>28</v>
      </c>
      <c r="D14" s="367">
        <f ca="1">'FS Transaction Details'!C17</f>
        <v>632937.02562307776</v>
      </c>
      <c r="F14" s="25" t="s">
        <v>29</v>
      </c>
      <c r="G14" s="16"/>
      <c r="H14" s="16"/>
      <c r="I14" s="376">
        <f>'FS Transaction Details'!I14</f>
        <v>24.580287615819977</v>
      </c>
      <c r="J14" s="377">
        <f>'FS Transaction Details'!J14</f>
        <v>684293.78216011834</v>
      </c>
    </row>
    <row r="15" spans="1:15" outlineLevel="1" x14ac:dyDescent="0.3">
      <c r="B15" s="19"/>
      <c r="D15" s="240"/>
    </row>
    <row r="16" spans="1:15" outlineLevel="1" x14ac:dyDescent="0.3">
      <c r="B16" s="19" t="s">
        <v>30</v>
      </c>
      <c r="D16" s="240">
        <f>'FS Transaction Details'!C19</f>
        <v>63011.472000000002</v>
      </c>
      <c r="H16" s="122" t="s">
        <v>31</v>
      </c>
      <c r="I16" s="30"/>
      <c r="J16" s="225">
        <f>'FS Transaction Details'!J17</f>
        <v>0.70178186153110045</v>
      </c>
    </row>
    <row r="17" spans="1:15" outlineLevel="1" x14ac:dyDescent="0.3">
      <c r="B17" s="19" t="s">
        <v>32</v>
      </c>
      <c r="D17" s="369">
        <f>'FS Transaction Details'!C20</f>
        <v>9850</v>
      </c>
      <c r="O17" s="31"/>
    </row>
    <row r="18" spans="1:15" outlineLevel="1" x14ac:dyDescent="0.3">
      <c r="B18" s="15" t="s">
        <v>33</v>
      </c>
      <c r="D18" s="370">
        <f>'FS Transaction Details'!C21</f>
        <v>7192.9</v>
      </c>
      <c r="I18" s="32"/>
      <c r="O18" s="31"/>
    </row>
    <row r="19" spans="1:15" outlineLevel="1" x14ac:dyDescent="0.3">
      <c r="B19" s="19" t="s">
        <v>34</v>
      </c>
      <c r="D19" s="371">
        <f>'FS Transaction Details'!C22</f>
        <v>0.36940594197055443</v>
      </c>
    </row>
    <row r="20" spans="1:15" outlineLevel="1" x14ac:dyDescent="0.3">
      <c r="D20" s="16"/>
    </row>
    <row r="21" spans="1:15" x14ac:dyDescent="0.3">
      <c r="D21" s="16"/>
    </row>
    <row r="22" spans="1:15" ht="18" x14ac:dyDescent="0.35">
      <c r="A22" s="66" t="s">
        <v>35</v>
      </c>
      <c r="B22" s="7" t="s">
        <v>36</v>
      </c>
      <c r="C22" s="7"/>
      <c r="D22" s="7"/>
      <c r="E22" s="7"/>
      <c r="F22" s="7"/>
      <c r="G22" s="7"/>
      <c r="H22" s="7"/>
      <c r="I22" s="7"/>
      <c r="J22" s="7"/>
      <c r="K22" s="7"/>
      <c r="L22" s="7"/>
      <c r="M22" s="7"/>
      <c r="N22" s="7"/>
    </row>
    <row r="24" spans="1:15" ht="18" x14ac:dyDescent="0.35">
      <c r="B24" s="379" t="s">
        <v>37</v>
      </c>
      <c r="C24" s="379"/>
      <c r="D24" s="379"/>
      <c r="E24" s="380"/>
      <c r="F24" s="379" t="s">
        <v>38</v>
      </c>
      <c r="G24" s="379"/>
      <c r="H24" s="379"/>
      <c r="I24" s="380"/>
      <c r="J24" s="379" t="s">
        <v>39</v>
      </c>
      <c r="K24" s="379"/>
      <c r="L24" s="379"/>
    </row>
    <row r="26" spans="1:15" ht="21" x14ac:dyDescent="0.4">
      <c r="B26" s="381">
        <f ca="1">'FS Transaction Details'!D43/1000</f>
        <v>180.61351097137745</v>
      </c>
      <c r="C26" s="382"/>
      <c r="D26" s="382"/>
      <c r="E26" s="383"/>
      <c r="F26" s="384">
        <f ca="1">'FS Model'!C342</f>
        <v>0.27708095908164976</v>
      </c>
      <c r="G26" s="382"/>
      <c r="H26" s="382"/>
      <c r="I26" s="383"/>
      <c r="J26" s="385">
        <f ca="1">'FS Model'!D342</f>
        <v>3.8452880901450546</v>
      </c>
      <c r="K26" s="385"/>
      <c r="L26" s="385"/>
    </row>
    <row r="29" spans="1:15" ht="18" x14ac:dyDescent="0.35">
      <c r="A29" s="66" t="s">
        <v>3</v>
      </c>
      <c r="B29" s="7" t="s">
        <v>40</v>
      </c>
      <c r="C29" s="7"/>
      <c r="D29" s="7"/>
      <c r="E29" s="7"/>
      <c r="F29" s="7"/>
      <c r="G29" s="7"/>
      <c r="H29" s="7"/>
      <c r="I29" s="7"/>
      <c r="J29" s="7"/>
      <c r="K29" s="7"/>
      <c r="L29" s="7"/>
      <c r="M29" s="7"/>
      <c r="N29" s="7"/>
    </row>
    <row r="31" spans="1:15" ht="15" thickBot="1" x14ac:dyDescent="0.35">
      <c r="I31" s="386">
        <v>2025</v>
      </c>
      <c r="J31" s="262">
        <f t="shared" ref="J31:N31" si="0">I31+1</f>
        <v>2026</v>
      </c>
      <c r="K31" s="262">
        <f t="shared" si="0"/>
        <v>2027</v>
      </c>
      <c r="L31" s="262">
        <f t="shared" si="0"/>
        <v>2028</v>
      </c>
      <c r="M31" s="262">
        <f t="shared" si="0"/>
        <v>2029</v>
      </c>
      <c r="N31" s="262">
        <f t="shared" si="0"/>
        <v>2030</v>
      </c>
    </row>
    <row r="32" spans="1:15" x14ac:dyDescent="0.3">
      <c r="B32" s="138" t="s">
        <v>41</v>
      </c>
    </row>
    <row r="33" spans="2:14" x14ac:dyDescent="0.3">
      <c r="B33" s="66" t="s">
        <v>18</v>
      </c>
      <c r="I33" s="240">
        <f>'FS Model'!K325</f>
        <v>28351.430172009765</v>
      </c>
      <c r="J33" s="240">
        <f>'FS Model'!L325</f>
        <v>30120.960023129592</v>
      </c>
      <c r="K33" s="240">
        <f>'FS Model'!M325</f>
        <v>34274.677181993466</v>
      </c>
      <c r="L33" s="240">
        <f>'FS Model'!N325</f>
        <v>38751.531985686182</v>
      </c>
      <c r="M33" s="240">
        <f>'FS Model'!O325</f>
        <v>43490.13089441543</v>
      </c>
      <c r="N33" s="240">
        <f>'FS Model'!P325</f>
        <v>51158.696461336833</v>
      </c>
    </row>
    <row r="34" spans="2:14" x14ac:dyDescent="0.3">
      <c r="B34" s="66" t="s">
        <v>42</v>
      </c>
      <c r="I34" s="240">
        <f ca="1">-'FS Model'!K55</f>
        <v>4175.3010223429937</v>
      </c>
      <c r="J34" s="240">
        <f ca="1">-'FS Model'!L55</f>
        <v>2011.4576778608405</v>
      </c>
      <c r="K34" s="240">
        <f ca="1">-'FS Model'!M55</f>
        <v>2685.9201789989997</v>
      </c>
      <c r="L34" s="240">
        <f ca="1">-'FS Model'!N55</f>
        <v>3431.266939247284</v>
      </c>
      <c r="M34" s="240">
        <f ca="1">-'FS Model'!O55</f>
        <v>4233.2673891127743</v>
      </c>
      <c r="N34" s="240">
        <f ca="1">-'FS Model'!P55</f>
        <v>5850.454938927769</v>
      </c>
    </row>
    <row r="35" spans="2:14" x14ac:dyDescent="0.3">
      <c r="B35" s="66" t="s">
        <v>43</v>
      </c>
      <c r="I35" s="240">
        <f>'FS Model'!K103</f>
        <v>14296.672661089546</v>
      </c>
      <c r="J35" s="240">
        <f>'FS Model'!L103</f>
        <v>14972.548700735206</v>
      </c>
      <c r="K35" s="240">
        <f>'FS Model'!M103</f>
        <v>15659.011911678383</v>
      </c>
      <c r="L35" s="240">
        <f>'FS Model'!N103</f>
        <v>16326.975044324416</v>
      </c>
      <c r="M35" s="240">
        <f>'FS Model'!O103</f>
        <v>16947.293729799683</v>
      </c>
      <c r="N35" s="240">
        <f>'FS Model'!P103</f>
        <v>17492.344650348699</v>
      </c>
    </row>
    <row r="36" spans="2:14" x14ac:dyDescent="0.3">
      <c r="B36" s="66" t="s">
        <v>44</v>
      </c>
      <c r="I36" s="240">
        <f ca="1">'FS Model'!K293*-1</f>
        <v>8107.1290055121444</v>
      </c>
      <c r="J36" s="240">
        <f ca="1">'FS Model'!L293*-1</f>
        <v>16615.447832252023</v>
      </c>
      <c r="K36" s="240">
        <f ca="1">'FS Model'!M293*-1</f>
        <v>17286.484186645383</v>
      </c>
      <c r="L36" s="240">
        <f ca="1">'FS Model'!N293*-1</f>
        <v>17938.805997302537</v>
      </c>
      <c r="M36" s="240">
        <f ca="1">'FS Model'!O293*-1</f>
        <v>18573.048984822603</v>
      </c>
      <c r="N36" s="240">
        <f ca="1">'FS Model'!P293*-1</f>
        <v>19167.393912326603</v>
      </c>
    </row>
    <row r="37" spans="2:14" x14ac:dyDescent="0.3">
      <c r="B37" s="66" t="s">
        <v>45</v>
      </c>
      <c r="I37" s="240">
        <f>'FS Model'!K162*-1</f>
        <v>5080.640926424554</v>
      </c>
      <c r="J37" s="240">
        <f ca="1">'FS Model'!L162*-1</f>
        <v>4992.2516938689487</v>
      </c>
      <c r="K37" s="240">
        <f ca="1">'FS Model'!M162*-1</f>
        <v>9810.9960202094535</v>
      </c>
      <c r="L37" s="240">
        <f ca="1">'FS Model'!N162*-1</f>
        <v>9470.3979258491763</v>
      </c>
      <c r="M37" s="240">
        <f ca="1">'FS Model'!O162*-1</f>
        <v>9142.3869203343493</v>
      </c>
      <c r="N37" s="240">
        <f ca="1">'FS Model'!P162*-1</f>
        <v>8826.480256809733</v>
      </c>
    </row>
    <row r="38" spans="2:14" x14ac:dyDescent="0.3">
      <c r="B38" s="66" t="s">
        <v>46</v>
      </c>
      <c r="I38" s="240">
        <f ca="1">'FS Model'!K330</f>
        <v>479401.83080220886</v>
      </c>
      <c r="J38" s="240">
        <f ca="1">'FS Model'!L330</f>
        <v>482523.41606767318</v>
      </c>
      <c r="K38" s="240">
        <f ca="1">'FS Model'!M330</f>
        <v>486010.63080786343</v>
      </c>
      <c r="L38" s="240">
        <f ca="1">'FS Model'!N330</f>
        <v>486274.57319081295</v>
      </c>
      <c r="M38" s="240">
        <f ca="1">'FS Model'!O330</f>
        <v>485006.33391844074</v>
      </c>
      <c r="N38" s="240">
        <f ca="1">'FS Model'!P330</f>
        <v>478381.94561186468</v>
      </c>
    </row>
    <row r="39" spans="2:14" x14ac:dyDescent="0.3">
      <c r="B39" s="66" t="s">
        <v>47</v>
      </c>
      <c r="I39" s="240">
        <f ca="1">'FS Model'!K331</f>
        <v>-13519.630462657369</v>
      </c>
      <c r="J39" s="240">
        <f ca="1">'FS Model'!L331</f>
        <v>-10000.000000000002</v>
      </c>
      <c r="K39" s="240">
        <f ca="1">'FS Model'!M331</f>
        <v>-10000.000000000002</v>
      </c>
      <c r="L39" s="240">
        <f ca="1">'FS Model'!N331</f>
        <v>-10000.000000000002</v>
      </c>
      <c r="M39" s="240">
        <f ca="1">'FS Model'!O331</f>
        <v>-10000.000000000002</v>
      </c>
      <c r="N39" s="240">
        <f ca="1">'FS Model'!P331</f>
        <v>-10000.000000000002</v>
      </c>
    </row>
    <row r="41" spans="2:14" x14ac:dyDescent="0.3">
      <c r="B41" s="138" t="s">
        <v>48</v>
      </c>
      <c r="I41" s="387">
        <f t="shared" ref="I41:N41" ca="1" si="1">I38/I33</f>
        <v>16.909264467212068</v>
      </c>
      <c r="J41" s="387">
        <f t="shared" ca="1" si="1"/>
        <v>16.019523139274053</v>
      </c>
      <c r="K41" s="387">
        <f t="shared" ca="1" si="1"/>
        <v>14.179874787068567</v>
      </c>
      <c r="L41" s="387">
        <f t="shared" ca="1" si="1"/>
        <v>12.548525136256039</v>
      </c>
      <c r="M41" s="387">
        <f t="shared" ca="1" si="1"/>
        <v>11.152101038645538</v>
      </c>
      <c r="N41" s="387">
        <f t="shared" ca="1" si="1"/>
        <v>9.3509408703054362</v>
      </c>
    </row>
    <row r="42" spans="2:14" x14ac:dyDescent="0.3">
      <c r="B42" s="138" t="s">
        <v>49</v>
      </c>
      <c r="I42" s="388">
        <f t="shared" ref="I42:N42" ca="1" si="2">IFERROR((I33-I34-I35)/(I37+I36),"N/A")</f>
        <v>0.74913776472944349</v>
      </c>
      <c r="J42" s="387">
        <f t="shared" ca="1" si="2"/>
        <v>0.60797557966097382</v>
      </c>
      <c r="K42" s="387">
        <f t="shared" ca="1" si="2"/>
        <v>0.58786813274565441</v>
      </c>
      <c r="L42" s="387">
        <f t="shared" ca="1" si="2"/>
        <v>0.69295299693368462</v>
      </c>
      <c r="M42" s="387">
        <f t="shared" ca="1" si="2"/>
        <v>0.80495106957173546</v>
      </c>
      <c r="N42" s="387">
        <f t="shared" ca="1" si="2"/>
        <v>0.99364227702101371</v>
      </c>
    </row>
    <row r="45" spans="2:14" ht="18" x14ac:dyDescent="0.35">
      <c r="C45" s="389" t="s">
        <v>50</v>
      </c>
      <c r="D45" s="390"/>
      <c r="E45" s="390"/>
      <c r="F45" s="390"/>
      <c r="G45" s="390"/>
      <c r="J45" s="389" t="s">
        <v>51</v>
      </c>
      <c r="K45" s="391"/>
      <c r="L45" s="391"/>
      <c r="M45" s="391"/>
    </row>
    <row r="62" spans="1:26" ht="15" thickBot="1" x14ac:dyDescent="0.35">
      <c r="T62" s="386">
        <v>24</v>
      </c>
      <c r="U62" s="386">
        <v>25</v>
      </c>
      <c r="V62" s="386">
        <v>26</v>
      </c>
      <c r="W62" s="386">
        <v>27</v>
      </c>
      <c r="X62" s="386">
        <v>28</v>
      </c>
      <c r="Y62" s="386">
        <v>29</v>
      </c>
      <c r="Z62" s="386">
        <v>30</v>
      </c>
    </row>
    <row r="63" spans="1:26" ht="18" x14ac:dyDescent="0.35">
      <c r="A63" s="66" t="s">
        <v>3</v>
      </c>
      <c r="B63" s="7" t="s">
        <v>52</v>
      </c>
      <c r="C63" s="7"/>
      <c r="D63" s="7"/>
      <c r="E63" s="7"/>
      <c r="F63" s="7"/>
      <c r="G63" s="7"/>
      <c r="H63" s="7"/>
      <c r="I63" s="7"/>
      <c r="J63" s="7"/>
      <c r="K63" s="7"/>
      <c r="L63" s="7"/>
      <c r="M63" s="7"/>
      <c r="N63" s="7"/>
      <c r="Q63" s="66" t="s">
        <v>53</v>
      </c>
      <c r="T63" s="403">
        <f>1-'FS Drivers and Inputs'!I43</f>
        <v>0.23310766430958418</v>
      </c>
      <c r="U63" s="403">
        <f>1-'FS Drivers and Inputs'!J43</f>
        <v>0.23799999999999999</v>
      </c>
      <c r="V63" s="403">
        <f>1-'FS Drivers and Inputs'!K43</f>
        <v>0.24199999999999999</v>
      </c>
      <c r="W63" s="403">
        <f>1-'FS Drivers and Inputs'!L43</f>
        <v>0.246</v>
      </c>
      <c r="X63" s="403">
        <f>1-'FS Drivers and Inputs'!M43</f>
        <v>0.25</v>
      </c>
      <c r="Y63" s="403">
        <f>1-'FS Drivers and Inputs'!N43</f>
        <v>0.254</v>
      </c>
      <c r="Z63" s="403">
        <f>1-'FS Drivers and Inputs'!O43</f>
        <v>0.25800000000000001</v>
      </c>
    </row>
    <row r="64" spans="1:26" x14ac:dyDescent="0.3">
      <c r="Q64" s="66" t="s">
        <v>54</v>
      </c>
      <c r="T64" s="403">
        <f>'FS Drivers and Inputs'!I82/10000</f>
        <v>7.6782999999999999E-3</v>
      </c>
      <c r="U64" s="403">
        <f>'FS Drivers and Inputs'!J82/10000</f>
        <v>8.3985833333333326E-3</v>
      </c>
      <c r="V64" s="403">
        <f>'FS Drivers and Inputs'!K82/10000</f>
        <v>9.1188666666666661E-3</v>
      </c>
      <c r="W64" s="403">
        <f>'FS Drivers and Inputs'!L82/10000</f>
        <v>9.8391499999999996E-3</v>
      </c>
      <c r="X64" s="403">
        <f>'FS Drivers and Inputs'!M82/10000</f>
        <v>1.0559433333333333E-2</v>
      </c>
      <c r="Y64" s="403">
        <f>'FS Drivers and Inputs'!N82/10000</f>
        <v>1.1279716666666665E-2</v>
      </c>
      <c r="Z64" s="403">
        <f>'FS Drivers and Inputs'!O82/10000</f>
        <v>1.2E-2</v>
      </c>
    </row>
    <row r="65" spans="1:23" ht="18" x14ac:dyDescent="0.35">
      <c r="C65" s="389" t="s">
        <v>55</v>
      </c>
      <c r="D65" s="389"/>
      <c r="E65" s="389"/>
      <c r="F65" s="389"/>
      <c r="G65" s="389"/>
      <c r="I65" s="389" t="s">
        <v>56</v>
      </c>
      <c r="J65" s="389"/>
      <c r="K65" s="389"/>
      <c r="L65" s="389"/>
      <c r="M65" s="389"/>
      <c r="N65" s="389"/>
    </row>
    <row r="66" spans="1:23" x14ac:dyDescent="0.3">
      <c r="B66" s="412">
        <v>0.5</v>
      </c>
      <c r="D66" s="264"/>
      <c r="E66" s="264"/>
      <c r="F66" s="264"/>
      <c r="Q66" s="352" t="s">
        <v>57</v>
      </c>
      <c r="R66" s="186"/>
      <c r="S66" s="186"/>
      <c r="T66" s="392" t="s">
        <v>58</v>
      </c>
      <c r="U66" s="392" t="s">
        <v>59</v>
      </c>
      <c r="V66" s="392" t="s">
        <v>60</v>
      </c>
      <c r="W66" s="392" t="s">
        <v>61</v>
      </c>
    </row>
    <row r="67" spans="1:23" x14ac:dyDescent="0.3">
      <c r="E67" s="393">
        <f ca="1">$F$26</f>
        <v>0.27708095908164976</v>
      </c>
      <c r="F67" s="394">
        <f ca="1">$J$26</f>
        <v>3.8452880901450546</v>
      </c>
      <c r="G67" s="395"/>
      <c r="Q67" s="66" t="s">
        <v>62</v>
      </c>
      <c r="S67" s="240">
        <f ca="1">'FS Transaction Details'!D43</f>
        <v>180613.51097137746</v>
      </c>
      <c r="T67" s="38"/>
      <c r="U67" s="38"/>
      <c r="V67" s="38"/>
      <c r="W67" s="396"/>
    </row>
    <row r="68" spans="1:23" x14ac:dyDescent="0.3">
      <c r="D68" s="430">
        <f>D69+$B$66</f>
        <v>23.731089896871033</v>
      </c>
      <c r="E68" s="424">
        <f t="dataTable" ref="E68:F72" dt2D="0" dtr="0" r1="S86" ca="1"/>
        <v>0.29367056488990784</v>
      </c>
      <c r="F68" s="434">
        <v>4.1285376443240027</v>
      </c>
      <c r="Q68" s="66" t="s">
        <v>20</v>
      </c>
      <c r="S68" s="240">
        <f>'FS Transaction Details'!N9*-1</f>
        <v>-17901.449626784852</v>
      </c>
      <c r="T68" s="38"/>
      <c r="U68" s="38"/>
      <c r="V68" s="38"/>
      <c r="W68" s="396"/>
    </row>
    <row r="69" spans="1:23" x14ac:dyDescent="0.3">
      <c r="D69" s="431">
        <f>D70+$B$66</f>
        <v>23.231089896871033</v>
      </c>
      <c r="E69" s="425">
        <v>0.28549636006355283</v>
      </c>
      <c r="F69" s="409">
        <v>3.9869128672345275</v>
      </c>
      <c r="Q69" s="66" t="s">
        <v>18</v>
      </c>
      <c r="S69" s="38">
        <f ca="1">V69*W69</f>
        <v>530182.47832300921</v>
      </c>
      <c r="T69" s="240">
        <f>'FS Transaction Details'!C9</f>
        <v>27839.128363970158</v>
      </c>
      <c r="U69" s="38">
        <f>N33</f>
        <v>51158.696461336833</v>
      </c>
      <c r="V69" s="38">
        <f>U69-T69</f>
        <v>23319.568097366675</v>
      </c>
      <c r="W69" s="398">
        <f ca="1">'FS Transaction Details'!C7</f>
        <v>22.735518775876436</v>
      </c>
    </row>
    <row r="70" spans="1:23" x14ac:dyDescent="0.3">
      <c r="D70" s="432">
        <v>22.731089896871033</v>
      </c>
      <c r="E70" s="429">
        <v>0.27708095908164976</v>
      </c>
      <c r="F70" s="397">
        <v>3.8452880901450546</v>
      </c>
      <c r="Q70" s="66" t="s">
        <v>9</v>
      </c>
      <c r="S70" s="29"/>
      <c r="T70" s="398">
        <f ca="1">'FS Transaction Details'!C7</f>
        <v>22.735518775876436</v>
      </c>
      <c r="U70" s="398">
        <f>'FS Transaction Details'!C8</f>
        <v>22.731089896871033</v>
      </c>
      <c r="V70" s="357">
        <f ca="1">T70-U70</f>
        <v>4.428879005402564E-3</v>
      </c>
      <c r="W70" s="396"/>
    </row>
    <row r="71" spans="1:23" x14ac:dyDescent="0.3">
      <c r="D71" s="431">
        <f>D70-$B$66</f>
        <v>22.231089896871033</v>
      </c>
      <c r="E71" s="425">
        <v>0.26840794682502755</v>
      </c>
      <c r="F71" s="409">
        <v>3.7036633130555821</v>
      </c>
      <c r="Q71" s="66" t="s">
        <v>26</v>
      </c>
      <c r="S71" s="238">
        <f ca="1">-V71</f>
        <v>18156.981333379459</v>
      </c>
      <c r="T71" s="238">
        <f>SUM('FS Transaction Details'!J8:J11)-'FS Transaction Details'!I30</f>
        <v>470224.96427848522</v>
      </c>
      <c r="U71" s="238">
        <f ca="1">N38-N39</f>
        <v>488381.94561186468</v>
      </c>
      <c r="V71" s="238">
        <f ca="1">T71-U71</f>
        <v>-18156.981333379459</v>
      </c>
      <c r="W71" s="399"/>
    </row>
    <row r="72" spans="1:23" x14ac:dyDescent="0.3">
      <c r="D72" s="433">
        <f>D71-$B$66</f>
        <v>21.731089896871033</v>
      </c>
      <c r="E72" s="426">
        <v>0.25945912003517158</v>
      </c>
      <c r="F72" s="400">
        <v>3.5620385359661082</v>
      </c>
      <c r="Q72" s="138" t="s">
        <v>63</v>
      </c>
      <c r="S72" s="263">
        <f ca="1">SUM(S67:S71)</f>
        <v>711051.52100098133</v>
      </c>
      <c r="T72" s="396"/>
      <c r="U72" s="396"/>
      <c r="V72" s="396"/>
      <c r="W72" s="396"/>
    </row>
    <row r="74" spans="1:23" ht="15" x14ac:dyDescent="0.35">
      <c r="Q74" s="66" t="s">
        <v>64</v>
      </c>
      <c r="S74" s="66">
        <f ca="1">IF(S72='FS Model'!P342,1,0)</f>
        <v>0</v>
      </c>
      <c r="T74" s="406"/>
    </row>
    <row r="75" spans="1:23" ht="18" x14ac:dyDescent="0.35">
      <c r="B75" s="412">
        <v>0.5</v>
      </c>
      <c r="C75" s="389" t="s">
        <v>65</v>
      </c>
      <c r="D75" s="389"/>
      <c r="E75" s="389"/>
      <c r="F75" s="389"/>
      <c r="G75" s="389"/>
    </row>
    <row r="77" spans="1:23" x14ac:dyDescent="0.3">
      <c r="C77" s="411" t="s">
        <v>66</v>
      </c>
      <c r="D77" s="344"/>
      <c r="E77" s="344"/>
      <c r="F77" s="345"/>
      <c r="G77" s="345"/>
      <c r="Q77" s="352" t="s">
        <v>67</v>
      </c>
      <c r="R77" s="186"/>
      <c r="S77" s="401" t="s">
        <v>68</v>
      </c>
      <c r="T77" s="401" t="s">
        <v>69</v>
      </c>
    </row>
    <row r="78" spans="1:23" x14ac:dyDescent="0.3">
      <c r="B78" s="419">
        <f ca="1">F26</f>
        <v>0.27708095908164976</v>
      </c>
      <c r="C78" s="416">
        <f>D78-$B$75</f>
        <v>5.75</v>
      </c>
      <c r="D78" s="416">
        <f>E78-$B$75</f>
        <v>6.25</v>
      </c>
      <c r="E78" s="417">
        <v>6.75</v>
      </c>
      <c r="F78" s="418">
        <f>E78+$B$75</f>
        <v>7.25</v>
      </c>
      <c r="G78" s="418">
        <f t="shared" ref="G78" si="3">F78+$B$75</f>
        <v>7.75</v>
      </c>
      <c r="Q78" s="402">
        <v>1</v>
      </c>
      <c r="S78" s="403">
        <f ca="1">'FS Model'!C346</f>
        <v>0.1129609167575836</v>
      </c>
      <c r="T78" s="404">
        <f ca="1">'FS Model'!D346</f>
        <v>1.1746564963889432</v>
      </c>
    </row>
    <row r="79" spans="1:23" ht="14.4" customHeight="1" x14ac:dyDescent="0.3">
      <c r="A79" s="505" t="s">
        <v>70</v>
      </c>
      <c r="B79" s="414">
        <f>B80-$B$75</f>
        <v>3.75</v>
      </c>
      <c r="C79" s="413">
        <f t="dataTable" ref="C79:G83" dt2D="1" dtr="1" r1="S87" r2="S88" ca="1"/>
        <v>0.23540458083152771</v>
      </c>
      <c r="D79" s="413">
        <v>0.24443570971488948</v>
      </c>
      <c r="E79" s="413">
        <v>0.25431815981864925</v>
      </c>
      <c r="F79" s="413">
        <v>0.26518875956535348</v>
      </c>
      <c r="G79" s="424">
        <v>0.27721741795539856</v>
      </c>
      <c r="Q79" s="405">
        <f>Q78+1</f>
        <v>2</v>
      </c>
      <c r="S79" s="403">
        <f ca="1">'FS Model'!C345</f>
        <v>0.22964866757392885</v>
      </c>
      <c r="T79" s="404">
        <f ca="1">'FS Model'!D345</f>
        <v>1.6781144210761525</v>
      </c>
    </row>
    <row r="80" spans="1:23" x14ac:dyDescent="0.3">
      <c r="A80" s="505"/>
      <c r="B80" s="414">
        <f>B81-$B$75</f>
        <v>4.25</v>
      </c>
      <c r="C80" s="413">
        <v>0.24437329173088074</v>
      </c>
      <c r="D80" s="420">
        <v>0.25425392985343931</v>
      </c>
      <c r="E80" s="420">
        <v>0.2651226103305816</v>
      </c>
      <c r="F80" s="420">
        <v>0.27714919447898867</v>
      </c>
      <c r="G80" s="425">
        <v>0.29054811596870422</v>
      </c>
      <c r="Q80" s="405">
        <f t="shared" ref="Q80:Q82" si="4">Q79+1</f>
        <v>3</v>
      </c>
      <c r="S80" s="403">
        <f ca="1">'FS Model'!C344</f>
        <v>0.2585782468318939</v>
      </c>
      <c r="T80" s="404">
        <f ca="1">'FS Model'!D344</f>
        <v>2.240087033585267</v>
      </c>
    </row>
    <row r="81" spans="1:20" x14ac:dyDescent="0.3">
      <c r="A81" s="505"/>
      <c r="B81" s="415">
        <v>4.75</v>
      </c>
      <c r="C81" s="413">
        <v>0.25418969988822937</v>
      </c>
      <c r="D81" s="420">
        <v>0.26505644917488091</v>
      </c>
      <c r="E81" s="421">
        <v>0.27708095908164976</v>
      </c>
      <c r="F81" s="420">
        <v>0.29047805666923532</v>
      </c>
      <c r="G81" s="425">
        <v>0.30551989674568181</v>
      </c>
      <c r="Q81" s="405">
        <f t="shared" si="4"/>
        <v>4</v>
      </c>
      <c r="S81" s="403">
        <f ca="1">'FS Model'!C343</f>
        <v>0.26096338629722593</v>
      </c>
      <c r="T81" s="404">
        <f ca="1">'FS Model'!D343</f>
        <v>2.8434846225352013</v>
      </c>
    </row>
    <row r="82" spans="1:20" x14ac:dyDescent="0.3">
      <c r="A82" s="505"/>
      <c r="B82" s="414">
        <f>B81+$B$75</f>
        <v>5.25</v>
      </c>
      <c r="C82" s="413">
        <v>0.2649902641773223</v>
      </c>
      <c r="D82" s="420">
        <v>0.27701269984245303</v>
      </c>
      <c r="E82" s="420">
        <v>0.29040680527687068</v>
      </c>
      <c r="F82" s="420">
        <v>0.30544679760932925</v>
      </c>
      <c r="G82" s="425">
        <v>0.32249131798744213</v>
      </c>
      <c r="Q82" s="405">
        <f t="shared" si="4"/>
        <v>5</v>
      </c>
      <c r="S82" s="403">
        <f ca="1">'FS Model'!C342</f>
        <v>0.27708095908164976</v>
      </c>
      <c r="T82" s="404">
        <f ca="1">'FS Model'!D342</f>
        <v>3.8452880901450546</v>
      </c>
    </row>
    <row r="83" spans="1:20" x14ac:dyDescent="0.3">
      <c r="A83" s="505"/>
      <c r="B83" s="414">
        <f t="shared" ref="B83" si="5">B82+$B$75</f>
        <v>5.75</v>
      </c>
      <c r="C83" s="422">
        <v>0.27694442868232727</v>
      </c>
      <c r="D83" s="423">
        <v>0.29033629298210151</v>
      </c>
      <c r="E83" s="423">
        <v>0.30537428259849553</v>
      </c>
      <c r="F83" s="423">
        <v>0.32241629958152784</v>
      </c>
      <c r="G83" s="426">
        <v>0.34194437861442561</v>
      </c>
    </row>
    <row r="84" spans="1:20" x14ac:dyDescent="0.3">
      <c r="A84"/>
      <c r="C84" s="413"/>
      <c r="D84" s="413"/>
      <c r="E84" s="413"/>
      <c r="F84" s="413"/>
      <c r="G84" s="413"/>
      <c r="Q84" s="352" t="s">
        <v>71</v>
      </c>
      <c r="R84" s="352"/>
      <c r="S84" s="352"/>
    </row>
    <row r="85" spans="1:20" x14ac:dyDescent="0.3">
      <c r="A85"/>
      <c r="Q85" s="66" t="s">
        <v>72</v>
      </c>
      <c r="S85" s="398">
        <f ca="1">'FS Transaction Details'!C7</f>
        <v>22.735518775876436</v>
      </c>
    </row>
    <row r="86" spans="1:20" x14ac:dyDescent="0.3">
      <c r="Q86" s="66" t="s">
        <v>15</v>
      </c>
      <c r="S86" s="398">
        <f>'FS Transaction Details'!C8</f>
        <v>22.731089896871033</v>
      </c>
    </row>
    <row r="87" spans="1:20" x14ac:dyDescent="0.3">
      <c r="Q87" s="66" t="s">
        <v>73</v>
      </c>
      <c r="S87" s="410">
        <f>'FS Transaction Details'!I9</f>
        <v>6.75</v>
      </c>
    </row>
    <row r="88" spans="1:20" ht="18" x14ac:dyDescent="0.35">
      <c r="C88" s="389" t="s">
        <v>74</v>
      </c>
      <c r="D88" s="389"/>
      <c r="E88" s="389"/>
      <c r="F88" s="389"/>
      <c r="G88" s="389"/>
      <c r="I88" s="389" t="s">
        <v>75</v>
      </c>
      <c r="J88" s="389"/>
      <c r="K88" s="389"/>
      <c r="L88" s="389"/>
      <c r="M88" s="389"/>
      <c r="N88" s="389"/>
      <c r="Q88" s="66" t="s">
        <v>76</v>
      </c>
      <c r="S88" s="410">
        <f>'FS Transaction Details'!I10</f>
        <v>4.75</v>
      </c>
    </row>
    <row r="106" spans="3:16" ht="18" x14ac:dyDescent="0.35">
      <c r="C106" s="389" t="s">
        <v>77</v>
      </c>
      <c r="D106" s="389"/>
      <c r="E106" s="389"/>
      <c r="F106" s="389"/>
      <c r="G106" s="389"/>
      <c r="I106" s="389" t="s">
        <v>78</v>
      </c>
      <c r="J106" s="389"/>
      <c r="K106" s="389"/>
      <c r="L106" s="389"/>
      <c r="M106" s="389"/>
      <c r="N106" s="389"/>
    </row>
    <row r="112" spans="3:16" x14ac:dyDescent="0.3">
      <c r="P112" s="264" t="s">
        <v>79</v>
      </c>
    </row>
    <row r="113" spans="3:16" x14ac:dyDescent="0.3">
      <c r="P113" s="264" t="s">
        <v>80</v>
      </c>
    </row>
    <row r="114" spans="3:16" x14ac:dyDescent="0.3">
      <c r="P114" s="448">
        <f>('FS Model'!P37/'FS Model'!I37)^(1/7)-1</f>
        <v>6.3654440587199712E-2</v>
      </c>
    </row>
    <row r="125" spans="3:16" x14ac:dyDescent="0.3">
      <c r="D125" s="390"/>
      <c r="E125" s="390"/>
      <c r="F125" s="390"/>
      <c r="G125" s="390"/>
    </row>
    <row r="126" spans="3:16" ht="18" x14ac:dyDescent="0.35">
      <c r="C126" s="389" t="s">
        <v>81</v>
      </c>
      <c r="D126" s="389"/>
      <c r="E126" s="389"/>
      <c r="F126" s="389"/>
      <c r="G126" s="389"/>
      <c r="I126" s="389" t="s">
        <v>75</v>
      </c>
      <c r="J126" s="389"/>
      <c r="K126" s="389"/>
      <c r="L126" s="389"/>
      <c r="M126" s="389"/>
      <c r="N126" s="389"/>
    </row>
    <row r="151" spans="10:10" ht="18" x14ac:dyDescent="0.35">
      <c r="J151" s="389"/>
    </row>
  </sheetData>
  <mergeCells count="1">
    <mergeCell ref="A79:A83"/>
  </mergeCells>
  <conditionalFormatting sqref="P114">
    <cfRule type="containsText" dxfId="152" priority="1" operator="containsText" text="OK">
      <formula>NOT(ISERROR(SEARCH("OK",P114)))</formula>
    </cfRule>
    <cfRule type="containsText" dxfId="151" priority="2" operator="containsText" text="ERROR">
      <formula>NOT(ISERROR(SEARCH("ERROR",P114)))</formula>
    </cfRule>
  </conditionalFormatting>
  <conditionalFormatting sqref="T74">
    <cfRule type="expression" dxfId="150" priority="3">
      <formula>T74=1</formula>
    </cfRule>
  </conditionalFormatting>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CC92-DA1B-4E4A-AF67-FB2A96F2A93A}">
  <dimension ref="A2:P59"/>
  <sheetViews>
    <sheetView showGridLines="0" zoomScaleNormal="100" workbookViewId="0">
      <selection activeCell="B2" sqref="B2"/>
    </sheetView>
  </sheetViews>
  <sheetFormatPr defaultColWidth="8.88671875" defaultRowHeight="14.4" x14ac:dyDescent="0.3"/>
  <cols>
    <col min="1" max="1" width="4.6640625" style="66" customWidth="1"/>
    <col min="2" max="2" width="29.33203125" style="66" customWidth="1"/>
    <col min="3" max="5" width="10.6640625" style="66" customWidth="1"/>
    <col min="6" max="6" width="12.6640625" style="66" bestFit="1" customWidth="1"/>
    <col min="7" max="12" width="11.6640625" style="66" customWidth="1"/>
    <col min="13" max="14" width="10.6640625" style="66" customWidth="1"/>
    <col min="15" max="16384" width="8.88671875" style="66"/>
  </cols>
  <sheetData>
    <row r="2" spans="2:16" ht="18" x14ac:dyDescent="0.35">
      <c r="B2" s="7" t="s">
        <v>4</v>
      </c>
      <c r="C2" s="74"/>
      <c r="E2" s="7" t="s">
        <v>5</v>
      </c>
      <c r="F2" s="74"/>
      <c r="G2" s="74"/>
      <c r="H2" s="74"/>
      <c r="I2" s="74"/>
      <c r="J2" s="74"/>
      <c r="K2" s="74"/>
      <c r="L2" s="74"/>
      <c r="M2" s="74"/>
      <c r="N2" s="74"/>
    </row>
    <row r="4" spans="2:16" x14ac:dyDescent="0.3">
      <c r="B4" s="260" t="s">
        <v>6</v>
      </c>
    </row>
    <row r="6" spans="2:16" x14ac:dyDescent="0.3">
      <c r="B6" s="8" t="s">
        <v>7</v>
      </c>
      <c r="C6" s="9"/>
      <c r="E6" s="8" t="s">
        <v>8</v>
      </c>
      <c r="F6" s="10"/>
      <c r="G6" s="10"/>
      <c r="H6" s="11"/>
      <c r="I6" s="12" t="s">
        <v>9</v>
      </c>
      <c r="J6" s="12" t="s">
        <v>10</v>
      </c>
      <c r="L6" s="8" t="s">
        <v>11</v>
      </c>
      <c r="M6" s="9"/>
      <c r="N6" s="12"/>
    </row>
    <row r="7" spans="2:16" x14ac:dyDescent="0.3">
      <c r="B7" s="13" t="s">
        <v>82</v>
      </c>
      <c r="C7" s="14">
        <f ca="1">C17/C9</f>
        <v>22.735518775876436</v>
      </c>
      <c r="E7" s="15" t="s">
        <v>13</v>
      </c>
      <c r="F7" s="16"/>
      <c r="G7" s="16"/>
      <c r="H7" s="16"/>
      <c r="I7" s="76">
        <f ca="1">-C14/$C$9</f>
        <v>1.2017368673637816</v>
      </c>
      <c r="J7" s="17">
        <f ca="1">MAX(-C14-I30,0)</f>
        <v>23455.306910255698</v>
      </c>
      <c r="K7"/>
      <c r="L7" s="13" t="s">
        <v>14</v>
      </c>
      <c r="M7" s="18"/>
      <c r="N7" s="17">
        <f>C13</f>
        <v>620662.99920000008</v>
      </c>
    </row>
    <row r="8" spans="2:16" x14ac:dyDescent="0.3">
      <c r="B8" s="13" t="s">
        <v>15</v>
      </c>
      <c r="C8" s="65">
        <v>22.731089896871033</v>
      </c>
      <c r="E8" s="19" t="s">
        <v>16</v>
      </c>
      <c r="F8" s="16"/>
      <c r="G8" s="16"/>
      <c r="H8" s="16"/>
      <c r="I8" s="120">
        <v>2</v>
      </c>
      <c r="J8" s="17">
        <f t="shared" ref="J8:J11" si="0">I8*$C$9</f>
        <v>55678.256727940316</v>
      </c>
      <c r="K8"/>
      <c r="L8" s="22" t="s">
        <v>17</v>
      </c>
      <c r="M8" s="16"/>
      <c r="N8" s="231">
        <f>C15</f>
        <v>45729.333333333336</v>
      </c>
    </row>
    <row r="9" spans="2:16" x14ac:dyDescent="0.3">
      <c r="B9" s="13" t="s">
        <v>18</v>
      </c>
      <c r="C9" s="121">
        <v>27839.128363970158</v>
      </c>
      <c r="E9" s="23" t="s">
        <v>19</v>
      </c>
      <c r="F9" s="16"/>
      <c r="G9" s="16"/>
      <c r="H9" s="16"/>
      <c r="I9" s="120">
        <v>6.75</v>
      </c>
      <c r="J9" s="374">
        <f>'FS Outputs'!S87*$C$9</f>
        <v>187914.11645679857</v>
      </c>
      <c r="K9"/>
      <c r="L9" s="22" t="s">
        <v>20</v>
      </c>
      <c r="M9" s="24"/>
      <c r="N9" s="21">
        <f>N27</f>
        <v>17901.449626784852</v>
      </c>
    </row>
    <row r="10" spans="2:16" x14ac:dyDescent="0.3">
      <c r="B10" s="151" t="s">
        <v>83</v>
      </c>
      <c r="C10" s="70">
        <f ca="1">IF(C7=C8,1,0)</f>
        <v>0</v>
      </c>
      <c r="E10" s="23" t="s">
        <v>21</v>
      </c>
      <c r="F10" s="16"/>
      <c r="G10" s="16"/>
      <c r="H10" s="16"/>
      <c r="I10" s="120">
        <v>4.75</v>
      </c>
      <c r="J10" s="374">
        <f>'FS Outputs'!S88*$C$9</f>
        <v>132235.85972885825</v>
      </c>
      <c r="K10"/>
      <c r="L10" s="25" t="s">
        <v>22</v>
      </c>
      <c r="M10" s="26"/>
      <c r="N10" s="27">
        <f>SUM(N7:N9)</f>
        <v>684293.78216011834</v>
      </c>
    </row>
    <row r="11" spans="2:16" x14ac:dyDescent="0.3">
      <c r="E11" s="23" t="s">
        <v>24</v>
      </c>
      <c r="F11" s="16"/>
      <c r="G11" s="16"/>
      <c r="H11" s="16"/>
      <c r="I11" s="120">
        <v>3.75</v>
      </c>
      <c r="J11" s="17">
        <f t="shared" si="0"/>
        <v>104396.7313648881</v>
      </c>
      <c r="K11"/>
    </row>
    <row r="12" spans="2:16" x14ac:dyDescent="0.3">
      <c r="B12" s="8" t="s">
        <v>23</v>
      </c>
      <c r="C12" s="33"/>
      <c r="E12" s="15" t="s">
        <v>25</v>
      </c>
      <c r="F12" s="16"/>
      <c r="G12" s="16"/>
      <c r="H12" s="77">
        <v>2.5000000000000001E-2</v>
      </c>
      <c r="I12" s="76">
        <f>J12/$C$9</f>
        <v>0.55736568965577959</v>
      </c>
      <c r="J12" s="21">
        <f>H12*N7</f>
        <v>15516.574980000003</v>
      </c>
      <c r="K12"/>
    </row>
    <row r="13" spans="2:16" x14ac:dyDescent="0.3">
      <c r="B13" s="19" t="s">
        <v>14</v>
      </c>
      <c r="C13" s="21">
        <f>C19*C20/1000</f>
        <v>620662.99920000008</v>
      </c>
      <c r="E13" s="15" t="s">
        <v>27</v>
      </c>
      <c r="F13" s="16"/>
      <c r="G13" s="16"/>
      <c r="H13" s="16"/>
      <c r="I13" s="78">
        <f ca="1">I14-SUM(I7:I12)</f>
        <v>5.5711850588004168</v>
      </c>
      <c r="J13" s="17">
        <f ca="1">J14-SUM(J7:J12)</f>
        <v>165096.93599137745</v>
      </c>
      <c r="K13"/>
    </row>
    <row r="14" spans="2:16" x14ac:dyDescent="0.3">
      <c r="B14" s="19" t="s">
        <v>84</v>
      </c>
      <c r="C14" s="240">
        <f ca="1">-'FS Model'!K86</f>
        <v>-33455.306910255698</v>
      </c>
      <c r="E14" s="25" t="s">
        <v>29</v>
      </c>
      <c r="F14" s="16"/>
      <c r="G14" s="16"/>
      <c r="H14" s="16"/>
      <c r="I14" s="79">
        <f>J14/$C$9</f>
        <v>24.580287615819977</v>
      </c>
      <c r="J14" s="27">
        <f>N10</f>
        <v>684293.78216011834</v>
      </c>
      <c r="K14"/>
      <c r="M14" s="457"/>
    </row>
    <row r="15" spans="2:16" x14ac:dyDescent="0.3">
      <c r="B15" s="19" t="s">
        <v>46</v>
      </c>
      <c r="C15" s="240">
        <f>'FS Model'!K143</f>
        <v>45729.333333333336</v>
      </c>
    </row>
    <row r="16" spans="2:16" x14ac:dyDescent="0.3">
      <c r="B16" s="19" t="s">
        <v>26</v>
      </c>
      <c r="C16" s="254">
        <f ca="1">SUM(C14:C15)</f>
        <v>12274.026423077637</v>
      </c>
      <c r="H16" s="122" t="s">
        <v>85</v>
      </c>
      <c r="I16" s="30"/>
      <c r="J16" s="123">
        <f ca="1">IF(SUM(J7:J13)=N10,1,0)</f>
        <v>1</v>
      </c>
    </row>
    <row r="17" spans="2:14" x14ac:dyDescent="0.3">
      <c r="B17" s="19" t="s">
        <v>86</v>
      </c>
      <c r="C17" s="69">
        <f ca="1">C13+C16</f>
        <v>632937.02562307776</v>
      </c>
      <c r="H17" s="122" t="s">
        <v>31</v>
      </c>
      <c r="I17" s="30"/>
      <c r="J17" s="124">
        <f>SUM(J8:J11)/J14</f>
        <v>0.70178186153110045</v>
      </c>
      <c r="N17" s="31"/>
    </row>
    <row r="18" spans="2:14" x14ac:dyDescent="0.3">
      <c r="B18" s="19"/>
      <c r="C18" s="38"/>
      <c r="D18" s="16"/>
      <c r="H18" s="32"/>
      <c r="N18" s="31"/>
    </row>
    <row r="19" spans="2:14" x14ac:dyDescent="0.3">
      <c r="B19" s="19" t="s">
        <v>30</v>
      </c>
      <c r="C19" s="29">
        <v>63011.472000000002</v>
      </c>
      <c r="D19" s="16"/>
    </row>
    <row r="20" spans="2:14" ht="18" x14ac:dyDescent="0.35">
      <c r="B20" s="19" t="s">
        <v>32</v>
      </c>
      <c r="C20" s="71">
        <v>9850</v>
      </c>
      <c r="D20" s="16"/>
      <c r="E20" s="7" t="s">
        <v>87</v>
      </c>
      <c r="F20" s="80"/>
      <c r="G20" s="80"/>
      <c r="H20" s="80"/>
      <c r="I20" s="80"/>
      <c r="J20" s="80"/>
      <c r="K20" s="80"/>
      <c r="L20" s="80"/>
      <c r="M20" s="80"/>
      <c r="N20" s="80"/>
    </row>
    <row r="21" spans="2:14" x14ac:dyDescent="0.3">
      <c r="B21" s="15" t="s">
        <v>33</v>
      </c>
      <c r="C21" s="361">
        <v>7192.9</v>
      </c>
      <c r="D21" s="16"/>
      <c r="E21" s="16"/>
      <c r="F21" s="16"/>
      <c r="G21" s="16"/>
      <c r="H21" s="16"/>
      <c r="I21" s="16"/>
      <c r="J21" s="16"/>
      <c r="K21" s="16"/>
      <c r="L21" s="16"/>
      <c r="M21" s="16"/>
      <c r="N21" s="16"/>
    </row>
    <row r="22" spans="2:14" x14ac:dyDescent="0.3">
      <c r="B22" s="19" t="s">
        <v>34</v>
      </c>
      <c r="C22" s="408">
        <f>C20/C21-1</f>
        <v>0.36940594197055443</v>
      </c>
      <c r="D22" s="16"/>
      <c r="E22" s="8" t="s">
        <v>88</v>
      </c>
      <c r="F22" s="9"/>
      <c r="G22" s="9"/>
      <c r="H22" s="9"/>
      <c r="I22" s="9"/>
      <c r="J22" s="16"/>
      <c r="K22" s="8" t="s">
        <v>20</v>
      </c>
      <c r="L22" s="10"/>
      <c r="M22" s="10"/>
      <c r="N22" s="10"/>
    </row>
    <row r="23" spans="2:14" x14ac:dyDescent="0.3">
      <c r="D23" s="16"/>
      <c r="E23" s="35" t="s">
        <v>89</v>
      </c>
      <c r="F23" s="16"/>
      <c r="G23" s="16"/>
      <c r="H23" s="36"/>
      <c r="I23" s="128">
        <v>45657</v>
      </c>
      <c r="J23" s="16"/>
      <c r="K23" s="13" t="s">
        <v>90</v>
      </c>
      <c r="L23" s="16"/>
      <c r="M23" s="72">
        <v>1.4999999999999999E-2</v>
      </c>
      <c r="N23" s="17">
        <f>M23*C15</f>
        <v>685.94</v>
      </c>
    </row>
    <row r="24" spans="2:14" x14ac:dyDescent="0.3">
      <c r="D24" s="16"/>
      <c r="E24" s="35" t="s">
        <v>91</v>
      </c>
      <c r="F24" s="16"/>
      <c r="G24" s="16"/>
      <c r="H24" s="36"/>
      <c r="I24" s="128">
        <v>46022</v>
      </c>
      <c r="J24" s="16"/>
      <c r="K24" s="22" t="s">
        <v>92</v>
      </c>
      <c r="N24" s="38">
        <f>SUM(H39:H42)</f>
        <v>4802.2496427848528</v>
      </c>
    </row>
    <row r="25" spans="2:14" x14ac:dyDescent="0.3">
      <c r="D25" s="16"/>
      <c r="E25" s="35" t="s">
        <v>93</v>
      </c>
      <c r="F25" s="16"/>
      <c r="G25" s="16"/>
      <c r="H25" s="36"/>
      <c r="I25" s="129">
        <f>EDATE(I23,6)</f>
        <v>45838</v>
      </c>
      <c r="J25" s="125"/>
      <c r="K25" s="22" t="s">
        <v>94</v>
      </c>
      <c r="L25" s="16"/>
      <c r="N25" s="37">
        <v>0</v>
      </c>
    </row>
    <row r="26" spans="2:14" x14ac:dyDescent="0.3">
      <c r="D26" s="16"/>
      <c r="E26" s="35" t="s">
        <v>95</v>
      </c>
      <c r="F26" s="16"/>
      <c r="G26" s="16"/>
      <c r="H26" s="36"/>
      <c r="I26" s="39">
        <f>YEAR(I23)</f>
        <v>2024</v>
      </c>
      <c r="J26" s="16"/>
      <c r="K26" s="22" t="s">
        <v>96</v>
      </c>
      <c r="L26" s="16"/>
      <c r="M26" s="72">
        <v>0.02</v>
      </c>
      <c r="N26" s="40">
        <v>12413.259984</v>
      </c>
    </row>
    <row r="27" spans="2:14" x14ac:dyDescent="0.3">
      <c r="D27" s="16"/>
      <c r="E27" s="35"/>
      <c r="F27" s="16"/>
      <c r="G27" s="16"/>
      <c r="H27" s="36"/>
      <c r="I27" s="41"/>
      <c r="J27" s="16"/>
      <c r="K27" s="73" t="s">
        <v>97</v>
      </c>
      <c r="L27" s="16"/>
      <c r="M27" s="16"/>
      <c r="N27" s="42">
        <f>SUM(N23:N26)</f>
        <v>17901.449626784852</v>
      </c>
    </row>
    <row r="28" spans="2:14" x14ac:dyDescent="0.3">
      <c r="D28" s="16"/>
      <c r="E28" s="35" t="s">
        <v>98</v>
      </c>
      <c r="F28" s="16"/>
      <c r="G28" s="16"/>
      <c r="H28" s="36"/>
      <c r="I28" s="43">
        <v>365</v>
      </c>
      <c r="J28" s="16"/>
    </row>
    <row r="29" spans="2:14" x14ac:dyDescent="0.3">
      <c r="D29" s="16"/>
      <c r="E29" s="35" t="s">
        <v>99</v>
      </c>
      <c r="F29" s="16"/>
      <c r="G29" s="16"/>
      <c r="H29" s="16"/>
      <c r="I29" s="34">
        <v>0.28000000000000003</v>
      </c>
      <c r="J29" s="16"/>
    </row>
    <row r="30" spans="2:14" x14ac:dyDescent="0.3">
      <c r="D30" s="16"/>
      <c r="E30" s="35" t="s">
        <v>100</v>
      </c>
      <c r="F30" s="16"/>
      <c r="G30" s="16"/>
      <c r="H30" s="16"/>
      <c r="I30" s="43">
        <v>10000</v>
      </c>
      <c r="J30" s="16"/>
    </row>
    <row r="31" spans="2:14" x14ac:dyDescent="0.3">
      <c r="D31" s="16"/>
      <c r="E31" s="44" t="s">
        <v>101</v>
      </c>
      <c r="F31" s="16"/>
      <c r="G31" s="16"/>
      <c r="H31" s="16"/>
      <c r="I31" s="333">
        <v>1.5E-3</v>
      </c>
      <c r="J31" s="16"/>
      <c r="K31" s="16"/>
      <c r="L31" s="16"/>
      <c r="M31" s="16"/>
      <c r="N31" s="16"/>
    </row>
    <row r="32" spans="2:14" x14ac:dyDescent="0.3">
      <c r="E32" s="35"/>
      <c r="F32" s="16"/>
      <c r="G32" s="16"/>
      <c r="H32" s="16"/>
      <c r="I32" s="34"/>
      <c r="J32" s="16"/>
      <c r="K32" s="16"/>
      <c r="L32" s="16"/>
      <c r="M32" s="16"/>
      <c r="N32" s="16"/>
    </row>
    <row r="33" spans="2:14" ht="18" x14ac:dyDescent="0.35">
      <c r="B33" s="7" t="s">
        <v>102</v>
      </c>
      <c r="C33" s="45"/>
      <c r="D33" s="45"/>
      <c r="E33" s="45"/>
      <c r="F33" s="45"/>
      <c r="G33" s="45"/>
      <c r="H33" s="45"/>
      <c r="I33" s="45"/>
      <c r="J33" s="45"/>
      <c r="K33" s="45"/>
      <c r="L33" s="45"/>
      <c r="M33" s="45"/>
      <c r="N33" s="45"/>
    </row>
    <row r="34" spans="2:14" x14ac:dyDescent="0.3">
      <c r="B34" s="81"/>
      <c r="C34" s="46"/>
      <c r="D34" s="47"/>
      <c r="E34" s="47"/>
      <c r="F34" s="82"/>
      <c r="G34" s="82"/>
      <c r="H34" s="82"/>
      <c r="I34" s="82"/>
      <c r="J34" s="82"/>
      <c r="K34" s="82"/>
      <c r="L34" s="82"/>
      <c r="M34" s="82"/>
      <c r="N34" s="83"/>
    </row>
    <row r="35" spans="2:14" x14ac:dyDescent="0.3">
      <c r="B35" s="84"/>
      <c r="D35" s="47"/>
      <c r="E35" s="85"/>
      <c r="F35" s="85"/>
      <c r="G35" s="85"/>
      <c r="H35" s="85"/>
      <c r="I35" s="86"/>
      <c r="J35" s="91" t="s">
        <v>103</v>
      </c>
      <c r="K35" s="87"/>
      <c r="L35" s="83"/>
      <c r="M35" s="83"/>
      <c r="N35" s="83"/>
    </row>
    <row r="36" spans="2:14" x14ac:dyDescent="0.3">
      <c r="B36" s="88"/>
      <c r="D36" s="89"/>
      <c r="E36" s="90"/>
      <c r="F36" s="86"/>
      <c r="G36" s="91" t="s">
        <v>104</v>
      </c>
      <c r="H36" s="91" t="s">
        <v>104</v>
      </c>
      <c r="I36" s="91" t="s">
        <v>105</v>
      </c>
      <c r="J36" s="91" t="s">
        <v>106</v>
      </c>
      <c r="K36" s="91" t="s">
        <v>107</v>
      </c>
      <c r="L36" s="16"/>
      <c r="M36" s="16"/>
      <c r="N36" s="16"/>
    </row>
    <row r="37" spans="2:14" x14ac:dyDescent="0.3">
      <c r="B37" s="107" t="s">
        <v>108</v>
      </c>
      <c r="C37" s="107"/>
      <c r="D37" s="108" t="s">
        <v>10</v>
      </c>
      <c r="E37" s="108" t="s">
        <v>109</v>
      </c>
      <c r="F37" s="109" t="s">
        <v>110</v>
      </c>
      <c r="G37" s="109" t="s">
        <v>111</v>
      </c>
      <c r="H37" s="109" t="s">
        <v>112</v>
      </c>
      <c r="I37" s="109" t="s">
        <v>112</v>
      </c>
      <c r="J37" s="109" t="s">
        <v>113</v>
      </c>
      <c r="K37" s="109" t="s">
        <v>113</v>
      </c>
      <c r="L37" s="16"/>
      <c r="M37" s="16"/>
      <c r="N37" s="16"/>
    </row>
    <row r="38" spans="2:14" x14ac:dyDescent="0.3">
      <c r="B38" s="67" t="s">
        <v>13</v>
      </c>
      <c r="D38" s="92">
        <f ca="1">J7</f>
        <v>23455.306910255698</v>
      </c>
      <c r="E38" s="20">
        <f t="shared" ref="E38:E44" ca="1" si="1">D38/$D$44</f>
        <v>3.4276662336773032E-2</v>
      </c>
      <c r="F38" s="112" t="s">
        <v>114</v>
      </c>
      <c r="G38" s="112" t="s">
        <v>114</v>
      </c>
      <c r="H38" s="112" t="s">
        <v>114</v>
      </c>
      <c r="I38" s="112" t="s">
        <v>114</v>
      </c>
      <c r="J38" s="112" t="s">
        <v>114</v>
      </c>
      <c r="K38" s="112" t="s">
        <v>114</v>
      </c>
      <c r="L38" s="16"/>
      <c r="M38" s="16"/>
      <c r="N38" s="16"/>
    </row>
    <row r="39" spans="2:14" x14ac:dyDescent="0.3">
      <c r="B39" s="94" t="s">
        <v>16</v>
      </c>
      <c r="D39" s="92">
        <f>J8</f>
        <v>55678.256727940316</v>
      </c>
      <c r="E39" s="95">
        <f t="shared" ca="1" si="1"/>
        <v>8.1366012931142082E-2</v>
      </c>
      <c r="F39" s="113">
        <v>75000</v>
      </c>
      <c r="G39" s="114">
        <v>0.01</v>
      </c>
      <c r="H39" s="119">
        <f>G39*D39</f>
        <v>556.78256727940322</v>
      </c>
      <c r="I39" s="115">
        <v>1E-3</v>
      </c>
      <c r="J39" s="116">
        <v>50</v>
      </c>
      <c r="K39" s="112" t="s">
        <v>114</v>
      </c>
      <c r="L39" s="16"/>
      <c r="M39" s="16"/>
      <c r="N39" s="16"/>
    </row>
    <row r="40" spans="2:14" x14ac:dyDescent="0.3">
      <c r="B40" s="23" t="s">
        <v>19</v>
      </c>
      <c r="D40" s="92">
        <f>J9</f>
        <v>187914.11645679857</v>
      </c>
      <c r="E40" s="95">
        <f t="shared" ca="1" si="1"/>
        <v>0.27461029364260453</v>
      </c>
      <c r="F40" s="112" t="s">
        <v>114</v>
      </c>
      <c r="G40" s="114">
        <v>0.01</v>
      </c>
      <c r="H40" s="119">
        <f t="shared" ref="H40:H42" si="2">G40*D40</f>
        <v>1879.1411645679857</v>
      </c>
      <c r="I40" s="112" t="s">
        <v>114</v>
      </c>
      <c r="J40" s="116">
        <v>100</v>
      </c>
      <c r="K40" s="112" t="s">
        <v>114</v>
      </c>
      <c r="L40" s="16"/>
      <c r="M40" s="16"/>
      <c r="N40" s="16"/>
    </row>
    <row r="41" spans="2:14" x14ac:dyDescent="0.3">
      <c r="B41" s="23" t="s">
        <v>21</v>
      </c>
      <c r="D41" s="92">
        <f>J10</f>
        <v>132235.85972885825</v>
      </c>
      <c r="E41" s="95">
        <f t="shared" ca="1" si="1"/>
        <v>0.19324428071146246</v>
      </c>
      <c r="F41" s="112" t="s">
        <v>114</v>
      </c>
      <c r="G41" s="114">
        <v>0.01</v>
      </c>
      <c r="H41" s="119">
        <f t="shared" si="2"/>
        <v>1322.3585972885826</v>
      </c>
      <c r="I41" s="112" t="s">
        <v>114</v>
      </c>
      <c r="J41" s="116">
        <v>135</v>
      </c>
      <c r="K41" s="112" t="s">
        <v>114</v>
      </c>
      <c r="L41" s="16"/>
      <c r="M41" s="16"/>
      <c r="N41" s="16"/>
    </row>
    <row r="42" spans="2:14" x14ac:dyDescent="0.3">
      <c r="B42" s="23" t="s">
        <v>24</v>
      </c>
      <c r="D42" s="92">
        <f>J11</f>
        <v>104396.7313648881</v>
      </c>
      <c r="E42" s="95">
        <f t="shared" ca="1" si="1"/>
        <v>0.15256127424589142</v>
      </c>
      <c r="F42" s="112" t="s">
        <v>114</v>
      </c>
      <c r="G42" s="114">
        <v>0.01</v>
      </c>
      <c r="H42" s="119">
        <f t="shared" si="2"/>
        <v>1043.9673136488809</v>
      </c>
      <c r="I42" s="112" t="s">
        <v>114</v>
      </c>
      <c r="J42" s="112" t="s">
        <v>114</v>
      </c>
      <c r="K42" s="114">
        <v>8.5000000000000006E-2</v>
      </c>
      <c r="L42" s="16"/>
      <c r="M42" s="16"/>
      <c r="N42" s="16"/>
    </row>
    <row r="43" spans="2:14" x14ac:dyDescent="0.3">
      <c r="B43" s="94" t="s">
        <v>115</v>
      </c>
      <c r="D43" s="96">
        <f ca="1">SUM(J12:J13)</f>
        <v>180613.51097137746</v>
      </c>
      <c r="E43" s="97">
        <f t="shared" ca="1" si="1"/>
        <v>0.26394147613212654</v>
      </c>
      <c r="F43" s="117" t="s">
        <v>114</v>
      </c>
      <c r="G43" s="117" t="s">
        <v>114</v>
      </c>
      <c r="H43" s="117" t="s">
        <v>114</v>
      </c>
      <c r="I43" s="118" t="s">
        <v>114</v>
      </c>
      <c r="J43" s="118" t="s">
        <v>114</v>
      </c>
      <c r="K43" s="118" t="s">
        <v>114</v>
      </c>
      <c r="L43" s="16"/>
      <c r="M43" s="16"/>
      <c r="N43" s="16"/>
    </row>
    <row r="44" spans="2:14" x14ac:dyDescent="0.3">
      <c r="B44" s="67"/>
      <c r="D44" s="92">
        <f ca="1">SUM(D38:D43)</f>
        <v>684293.78216011834</v>
      </c>
      <c r="E44" s="20">
        <f t="shared" ca="1" si="1"/>
        <v>1</v>
      </c>
      <c r="F44" s="20"/>
      <c r="G44" s="98"/>
      <c r="H44" s="16"/>
      <c r="I44" s="16"/>
      <c r="J44" s="99"/>
      <c r="K44" s="99"/>
      <c r="L44" s="99"/>
      <c r="M44" s="99"/>
      <c r="N44" s="99"/>
    </row>
    <row r="45" spans="2:14" x14ac:dyDescent="0.3">
      <c r="B45" s="16"/>
      <c r="C45" s="16"/>
      <c r="D45" s="16"/>
      <c r="E45" s="16"/>
      <c r="F45" s="16"/>
      <c r="G45" s="16"/>
      <c r="H45" s="16"/>
      <c r="I45" s="16"/>
      <c r="J45" s="16"/>
      <c r="K45" s="16"/>
      <c r="L45" s="16"/>
      <c r="M45" s="16"/>
      <c r="N45" s="16"/>
    </row>
    <row r="46" spans="2:14" x14ac:dyDescent="0.3">
      <c r="B46" s="16"/>
      <c r="C46" s="16"/>
      <c r="D46" s="100"/>
      <c r="E46" s="101"/>
      <c r="F46" s="83"/>
      <c r="G46" s="102"/>
      <c r="H46" s="83"/>
      <c r="I46" s="83"/>
      <c r="J46" s="16"/>
      <c r="K46" s="16"/>
      <c r="L46" s="16"/>
      <c r="M46" s="16"/>
      <c r="N46" s="16"/>
    </row>
    <row r="47" spans="2:14" x14ac:dyDescent="0.3">
      <c r="B47" s="16"/>
      <c r="C47" s="16"/>
      <c r="D47" s="91" t="s">
        <v>116</v>
      </c>
      <c r="E47" s="101" t="s">
        <v>47</v>
      </c>
      <c r="F47" s="126" t="s">
        <v>117</v>
      </c>
      <c r="G47" s="126"/>
      <c r="H47" s="126"/>
      <c r="I47" s="126"/>
      <c r="J47" s="126"/>
      <c r="K47" s="127"/>
      <c r="L47" s="16"/>
      <c r="M47" s="16"/>
      <c r="N47" s="16"/>
    </row>
    <row r="48" spans="2:14" x14ac:dyDescent="0.3">
      <c r="B48" s="107" t="s">
        <v>118</v>
      </c>
      <c r="C48" s="10"/>
      <c r="D48" s="110" t="s">
        <v>119</v>
      </c>
      <c r="E48" s="111" t="s">
        <v>120</v>
      </c>
      <c r="F48" s="132">
        <v>0</v>
      </c>
      <c r="G48" s="130">
        <f>F48+1</f>
        <v>1</v>
      </c>
      <c r="H48" s="130">
        <f>G48+1</f>
        <v>2</v>
      </c>
      <c r="I48" s="130">
        <f t="shared" ref="I48:K48" si="3">H48+1</f>
        <v>3</v>
      </c>
      <c r="J48" s="130">
        <f t="shared" si="3"/>
        <v>4</v>
      </c>
      <c r="K48" s="130">
        <f t="shared" si="3"/>
        <v>5</v>
      </c>
      <c r="L48" s="16"/>
      <c r="M48" s="16"/>
      <c r="N48" s="16"/>
    </row>
    <row r="49" spans="1:14" x14ac:dyDescent="0.3">
      <c r="B49" s="94" t="s">
        <v>16</v>
      </c>
      <c r="C49" s="16"/>
      <c r="D49" s="112" t="s">
        <v>114</v>
      </c>
      <c r="E49" s="112" t="s">
        <v>114</v>
      </c>
      <c r="F49" s="28" t="s">
        <v>114</v>
      </c>
      <c r="G49" s="28" t="s">
        <v>114</v>
      </c>
      <c r="H49" s="28" t="s">
        <v>114</v>
      </c>
      <c r="I49" s="28" t="s">
        <v>114</v>
      </c>
      <c r="J49" s="28" t="s">
        <v>114</v>
      </c>
      <c r="K49" s="28" t="s">
        <v>114</v>
      </c>
      <c r="L49" s="16"/>
      <c r="M49" s="16"/>
      <c r="N49" s="16"/>
    </row>
    <row r="50" spans="1:14" x14ac:dyDescent="0.3">
      <c r="B50" s="23" t="s">
        <v>19</v>
      </c>
      <c r="C50" s="16"/>
      <c r="D50" s="112" t="s">
        <v>114</v>
      </c>
      <c r="E50" s="112">
        <v>1</v>
      </c>
      <c r="F50" s="103">
        <v>0.02</v>
      </c>
      <c r="G50" s="103">
        <v>0.02</v>
      </c>
      <c r="H50" s="103">
        <v>0.04</v>
      </c>
      <c r="I50" s="103">
        <v>0.04</v>
      </c>
      <c r="J50" s="103">
        <v>0.04</v>
      </c>
      <c r="K50" s="103">
        <v>0.04</v>
      </c>
      <c r="L50" s="16"/>
      <c r="M50" s="16"/>
      <c r="N50" s="16"/>
    </row>
    <row r="51" spans="1:14" x14ac:dyDescent="0.3">
      <c r="B51" s="23" t="s">
        <v>21</v>
      </c>
      <c r="C51" s="16"/>
      <c r="D51" s="112" t="s">
        <v>114</v>
      </c>
      <c r="E51" s="112">
        <v>1</v>
      </c>
      <c r="F51" s="103">
        <v>0.01</v>
      </c>
      <c r="G51" s="103">
        <v>0.01</v>
      </c>
      <c r="H51" s="103">
        <v>0.02</v>
      </c>
      <c r="I51" s="103">
        <v>0.02</v>
      </c>
      <c r="J51" s="103">
        <v>0.02</v>
      </c>
      <c r="K51" s="103">
        <v>0.02</v>
      </c>
      <c r="L51" s="104"/>
      <c r="M51" s="16"/>
      <c r="N51" s="16"/>
    </row>
    <row r="52" spans="1:14" x14ac:dyDescent="0.3">
      <c r="B52" s="23" t="s">
        <v>24</v>
      </c>
      <c r="C52" s="16"/>
      <c r="D52" s="112">
        <v>0.6</v>
      </c>
      <c r="E52" s="112" t="s">
        <v>114</v>
      </c>
      <c r="F52" s="131">
        <v>0</v>
      </c>
      <c r="G52" s="131">
        <v>0</v>
      </c>
      <c r="H52" s="131">
        <v>0</v>
      </c>
      <c r="I52" s="131">
        <v>0</v>
      </c>
      <c r="J52" s="131">
        <v>0</v>
      </c>
      <c r="K52" s="131">
        <v>0</v>
      </c>
      <c r="L52" s="104"/>
      <c r="M52" s="16"/>
      <c r="N52" s="16"/>
    </row>
    <row r="53" spans="1:14" x14ac:dyDescent="0.3">
      <c r="B53" s="23"/>
      <c r="C53" s="16"/>
      <c r="D53" s="93"/>
      <c r="E53" s="93"/>
      <c r="F53" s="103"/>
      <c r="G53" s="103"/>
      <c r="H53" s="103"/>
      <c r="I53" s="103"/>
      <c r="J53" s="103"/>
      <c r="K53" s="103"/>
      <c r="L53" s="104"/>
      <c r="M53" s="16"/>
      <c r="N53" s="16"/>
    </row>
    <row r="54" spans="1:14" x14ac:dyDescent="0.3">
      <c r="B54" s="94"/>
      <c r="C54" s="16"/>
      <c r="D54" s="105"/>
      <c r="E54" s="105"/>
      <c r="F54" s="106"/>
      <c r="G54" s="106"/>
      <c r="H54" s="106"/>
      <c r="I54" s="106"/>
      <c r="J54" s="106"/>
      <c r="K54" s="106"/>
      <c r="L54" s="16"/>
      <c r="M54" s="16"/>
      <c r="N54" s="16"/>
    </row>
    <row r="55" spans="1:14" x14ac:dyDescent="0.3">
      <c r="A55" t="s">
        <v>3</v>
      </c>
      <c r="B55" s="186" t="s">
        <v>3</v>
      </c>
      <c r="C55" s="186"/>
      <c r="D55" s="186"/>
      <c r="E55" s="186"/>
      <c r="F55" s="186"/>
      <c r="G55" s="186"/>
      <c r="H55" s="186"/>
      <c r="I55" s="186"/>
      <c r="J55" s="186"/>
      <c r="K55" s="186"/>
      <c r="L55" s="186"/>
      <c r="M55" s="186"/>
      <c r="N55" s="186"/>
    </row>
    <row r="56" spans="1:14" x14ac:dyDescent="0.3">
      <c r="E56" s="32"/>
    </row>
    <row r="57" spans="1:14" x14ac:dyDescent="0.3">
      <c r="E57" s="32"/>
    </row>
    <row r="58" spans="1:14" x14ac:dyDescent="0.3">
      <c r="E58" s="32"/>
    </row>
    <row r="59" spans="1:14" x14ac:dyDescent="0.3">
      <c r="E59" s="32"/>
    </row>
  </sheetData>
  <conditionalFormatting sqref="J16">
    <cfRule type="expression" dxfId="149" priority="1">
      <formula>$J$16=0</formula>
    </cfRule>
  </conditionalFormatting>
  <pageMargins left="0.7" right="0.7" top="0.75" bottom="0.75" header="0.3" footer="0.3"/>
  <pageSetup orientation="portrait" r:id="rId1"/>
  <ignoredErrors>
    <ignoredError sqref="I13" 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DD52E-85DC-4E79-8D5B-6719C2A61297}">
  <dimension ref="A2:BG294"/>
  <sheetViews>
    <sheetView showGridLines="0" zoomScaleNormal="100" workbookViewId="0">
      <selection activeCell="B2" sqref="B2"/>
    </sheetView>
  </sheetViews>
  <sheetFormatPr defaultColWidth="8.88671875" defaultRowHeight="14.4" outlineLevelRow="1" outlineLevelCol="1" x14ac:dyDescent="0.3"/>
  <cols>
    <col min="1" max="1" width="4.6640625" style="66" customWidth="1"/>
    <col min="2" max="2" width="14.6640625" style="66" customWidth="1"/>
    <col min="3" max="3" width="9" style="66" bestFit="1" customWidth="1"/>
    <col min="4" max="4" width="10.33203125" style="66" customWidth="1"/>
    <col min="5" max="16" width="9.6640625" style="66" customWidth="1"/>
    <col min="17" max="18" width="9.6640625" style="66" hidden="1" customWidth="1" outlineLevel="1"/>
    <col min="19" max="20" width="8.88671875" style="66" hidden="1" customWidth="1" outlineLevel="1"/>
    <col min="21" max="21" width="47.6640625" style="66" hidden="1" customWidth="1" outlineLevel="1"/>
    <col min="22" max="25" width="14.6640625" style="66" hidden="1" customWidth="1" outlineLevel="1"/>
    <col min="26" max="26" width="15.6640625" style="66" hidden="1" customWidth="1" outlineLevel="1"/>
    <col min="27" max="28" width="13.33203125" style="66" hidden="1" customWidth="1" outlineLevel="1"/>
    <col min="29" max="29" width="9.33203125" style="66" hidden="1" customWidth="1" outlineLevel="1"/>
    <col min="30" max="58" width="8.88671875" style="66" hidden="1" customWidth="1" outlineLevel="1"/>
    <col min="59" max="59" width="8.88671875" style="66" collapsed="1"/>
    <col min="60" max="16384" width="8.88671875" style="66"/>
  </cols>
  <sheetData>
    <row r="2" spans="1:39" ht="18" x14ac:dyDescent="0.35">
      <c r="A2" s="66" t="s">
        <v>3</v>
      </c>
      <c r="B2" s="7" t="s">
        <v>121</v>
      </c>
      <c r="C2" s="133"/>
      <c r="D2" s="133"/>
      <c r="E2" s="133"/>
      <c r="F2" s="133"/>
      <c r="G2" s="133"/>
      <c r="H2" s="133"/>
      <c r="I2" s="133"/>
      <c r="J2" s="133"/>
      <c r="K2" s="133"/>
      <c r="L2" s="133"/>
      <c r="M2" s="133"/>
      <c r="N2" s="133"/>
      <c r="O2" s="133"/>
    </row>
    <row r="3" spans="1:39" outlineLevel="1" x14ac:dyDescent="0.3"/>
    <row r="4" spans="1:39" ht="15" outlineLevel="1" thickBot="1" x14ac:dyDescent="0.35">
      <c r="B4" s="66" t="s">
        <v>122</v>
      </c>
      <c r="C4" s="66">
        <v>2</v>
      </c>
      <c r="G4" s="266" t="s">
        <v>123</v>
      </c>
      <c r="H4" s="261">
        <v>2023</v>
      </c>
      <c r="I4" s="262">
        <f>H4+1</f>
        <v>2024</v>
      </c>
      <c r="J4" s="262">
        <f t="shared" ref="J4:O4" si="0">I4+1</f>
        <v>2025</v>
      </c>
      <c r="K4" s="262">
        <f t="shared" si="0"/>
        <v>2026</v>
      </c>
      <c r="L4" s="262">
        <f t="shared" si="0"/>
        <v>2027</v>
      </c>
      <c r="M4" s="262">
        <f t="shared" si="0"/>
        <v>2028</v>
      </c>
      <c r="N4" s="262">
        <f t="shared" si="0"/>
        <v>2029</v>
      </c>
      <c r="O4" s="262">
        <f t="shared" si="0"/>
        <v>2030</v>
      </c>
      <c r="P4" s="157"/>
      <c r="Q4" s="157"/>
      <c r="R4" s="157"/>
      <c r="X4" s="156" t="s">
        <v>124</v>
      </c>
      <c r="Y4" s="156"/>
      <c r="Z4" s="156"/>
      <c r="AA4" s="156"/>
    </row>
    <row r="5" spans="1:39" ht="15" outlineLevel="1" thickBot="1" x14ac:dyDescent="0.35">
      <c r="AJ5" s="156" t="s">
        <v>125</v>
      </c>
      <c r="AK5" s="156"/>
      <c r="AL5" s="156"/>
      <c r="AM5" s="156"/>
    </row>
    <row r="6" spans="1:39" ht="15.6" outlineLevel="1" x14ac:dyDescent="0.3">
      <c r="B6" s="134" t="s">
        <v>126</v>
      </c>
      <c r="G6" s="161">
        <f>'Income Statement'!D21/'Income Statement'!C21-1</f>
        <v>8.1010969750786144E-2</v>
      </c>
      <c r="H6" s="150">
        <f>'Income Statement'!E21/'Income Statement'!D21-1</f>
        <v>7.199865128074534E-2</v>
      </c>
      <c r="I6" s="136">
        <f>'FS Model'!J6/'FS Model'!I6-1</f>
        <v>6.1382066219403786E-2</v>
      </c>
      <c r="J6" s="136">
        <f>'FS Model'!K6/'FS Model'!J6-1</f>
        <v>6.6775818033807388E-2</v>
      </c>
      <c r="K6" s="136">
        <f>'FS Model'!L6/'FS Model'!K6-1</f>
        <v>6.8778359782067255E-2</v>
      </c>
      <c r="L6" s="136">
        <f>'FS Model'!M6/'FS Model'!L6-1</f>
        <v>6.7772282868586053E-2</v>
      </c>
      <c r="M6" s="136">
        <f>'FS Model'!N6/'FS Model'!M6-1</f>
        <v>6.4982055146919571E-2</v>
      </c>
      <c r="N6" s="136">
        <f>'FS Model'!O6/'FS Model'!N6-1</f>
        <v>6.0705204604181384E-2</v>
      </c>
      <c r="O6" s="137">
        <f>'FS Model'!P6/'FS Model'!O6-1</f>
        <v>5.5250848955134435E-2</v>
      </c>
      <c r="P6" s="158"/>
      <c r="Q6" s="158"/>
      <c r="R6" s="158"/>
    </row>
    <row r="7" spans="1:39" outlineLevel="1" x14ac:dyDescent="0.3"/>
    <row r="8" spans="1:39" outlineLevel="1" x14ac:dyDescent="0.3">
      <c r="B8" s="138" t="s">
        <v>127</v>
      </c>
      <c r="G8" s="135">
        <v>7.4999999999999997E-2</v>
      </c>
      <c r="H8" s="150">
        <v>7.2999999999999995E-2</v>
      </c>
      <c r="I8" s="136">
        <f>'FS Model'!J8/'FS Model'!I8-1</f>
        <v>6.5245865174411444E-2</v>
      </c>
      <c r="J8" s="136">
        <f>'FS Model'!K8/'FS Model'!J8-1</f>
        <v>7.0494842417758719E-2</v>
      </c>
      <c r="K8" s="136">
        <f>'FS Model'!L8/'FS Model'!K8-1</f>
        <v>7.2178454942747994E-2</v>
      </c>
      <c r="L8" s="136">
        <f>'FS Model'!M8/'FS Model'!L8-1</f>
        <v>7.0743287088492091E-2</v>
      </c>
      <c r="M8" s="136">
        <f>'FS Model'!N8/'FS Model'!M8-1</f>
        <v>6.7498946250252878E-2</v>
      </c>
      <c r="N8" s="136">
        <f>'FS Model'!O8/'FS Model'!N8-1</f>
        <v>6.2763814204773283E-2</v>
      </c>
      <c r="O8" s="137">
        <f>'FS Model'!P8/'FS Model'!O8-1</f>
        <v>5.6860074448621623E-2</v>
      </c>
      <c r="P8" s="143"/>
      <c r="Q8" s="143"/>
      <c r="R8" s="143"/>
    </row>
    <row r="9" spans="1:39" outlineLevel="1" x14ac:dyDescent="0.3"/>
    <row r="10" spans="1:39" outlineLevel="1" x14ac:dyDescent="0.3">
      <c r="B10" s="138" t="s">
        <v>128</v>
      </c>
      <c r="G10" s="135">
        <v>0.11799999999999999</v>
      </c>
      <c r="H10" s="150">
        <v>0.104</v>
      </c>
      <c r="I10" s="136">
        <f>'FS Model'!J10/'FS Model'!I10-1</f>
        <v>0.12050960942684585</v>
      </c>
      <c r="J10" s="136">
        <f>'FS Model'!K10/'FS Model'!J10-1</f>
        <v>0.11503804872278578</v>
      </c>
      <c r="K10" s="136">
        <f>'FS Model'!L10/'FS Model'!K10-1</f>
        <v>0.107314708581983</v>
      </c>
      <c r="L10" s="136">
        <f>'FS Model'!M10/'FS Model'!L10-1</f>
        <v>9.8527626244510724E-2</v>
      </c>
      <c r="M10" s="136">
        <f>'FS Model'!N10/'FS Model'!M10-1</f>
        <v>8.8847813081166516E-2</v>
      </c>
      <c r="N10" s="136">
        <f>'FS Model'!O10/'FS Model'!N10-1</f>
        <v>7.8441577078532276E-2</v>
      </c>
      <c r="O10" s="137">
        <f>'FS Model'!P10/'FS Model'!O10-1</f>
        <v>6.746754221353779E-2</v>
      </c>
      <c r="P10" s="143"/>
      <c r="Q10" s="143"/>
      <c r="R10" s="143"/>
    </row>
    <row r="11" spans="1:39" outlineLevel="1" x14ac:dyDescent="0.3"/>
    <row r="12" spans="1:39" outlineLevel="1" x14ac:dyDescent="0.3">
      <c r="B12" s="73" t="s">
        <v>129</v>
      </c>
      <c r="G12" s="135">
        <v>8.6999999999999994E-2</v>
      </c>
      <c r="H12" s="152">
        <v>5.5E-2</v>
      </c>
      <c r="I12" s="139">
        <f>CHOOSE($C$4,I13,I14,I15)</f>
        <v>4.4999999999999998E-2</v>
      </c>
      <c r="J12" s="139">
        <f t="shared" ref="J12:O12" si="1">CHOOSE($C$4,J13,J14,J15)</f>
        <v>4.5999999999999999E-2</v>
      </c>
      <c r="K12" s="139">
        <f t="shared" si="1"/>
        <v>4.48E-2</v>
      </c>
      <c r="L12" s="139">
        <f t="shared" si="1"/>
        <v>4.36E-2</v>
      </c>
      <c r="M12" s="139">
        <f t="shared" si="1"/>
        <v>4.24E-2</v>
      </c>
      <c r="N12" s="139">
        <f t="shared" si="1"/>
        <v>4.1200000000000001E-2</v>
      </c>
      <c r="O12" s="140">
        <f t="shared" si="1"/>
        <v>0.04</v>
      </c>
      <c r="P12" s="143"/>
      <c r="Q12" s="143"/>
      <c r="R12" s="143"/>
    </row>
    <row r="13" spans="1:39" outlineLevel="1" x14ac:dyDescent="0.3">
      <c r="B13" s="13" t="s">
        <v>130</v>
      </c>
      <c r="E13" s="226">
        <v>0.01</v>
      </c>
      <c r="G13" s="155"/>
      <c r="H13" s="153"/>
      <c r="I13" s="142">
        <f>I14+$E$13</f>
        <v>5.5E-2</v>
      </c>
      <c r="J13" s="142">
        <f t="shared" ref="J13:O13" si="2">J14+$E$13</f>
        <v>5.6000000000000001E-2</v>
      </c>
      <c r="K13" s="142">
        <f t="shared" si="2"/>
        <v>5.4800000000000001E-2</v>
      </c>
      <c r="L13" s="143">
        <f t="shared" si="2"/>
        <v>5.3600000000000002E-2</v>
      </c>
      <c r="M13" s="142">
        <f t="shared" si="2"/>
        <v>5.2400000000000002E-2</v>
      </c>
      <c r="N13" s="142">
        <f t="shared" si="2"/>
        <v>5.1200000000000002E-2</v>
      </c>
      <c r="O13" s="144">
        <f t="shared" si="2"/>
        <v>0.05</v>
      </c>
      <c r="P13" s="143"/>
      <c r="Q13" s="143"/>
      <c r="R13" s="143"/>
    </row>
    <row r="14" spans="1:39" outlineLevel="1" x14ac:dyDescent="0.3">
      <c r="B14" s="13" t="s">
        <v>131</v>
      </c>
      <c r="E14" s="227">
        <v>0</v>
      </c>
      <c r="G14" s="141"/>
      <c r="H14" s="153"/>
      <c r="I14" s="145">
        <v>4.4999999999999998E-2</v>
      </c>
      <c r="J14" s="145">
        <v>4.5999999999999999E-2</v>
      </c>
      <c r="K14" s="143">
        <f>J14+($O$14-$J$14)/5</f>
        <v>4.48E-2</v>
      </c>
      <c r="L14" s="143">
        <f t="shared" ref="L14:N14" si="3">K14+($O$14-$J$14)/5</f>
        <v>4.36E-2</v>
      </c>
      <c r="M14" s="143">
        <f t="shared" si="3"/>
        <v>4.24E-2</v>
      </c>
      <c r="N14" s="143">
        <f t="shared" si="3"/>
        <v>4.1200000000000001E-2</v>
      </c>
      <c r="O14" s="146">
        <v>0.04</v>
      </c>
      <c r="P14" s="145"/>
      <c r="Q14" s="145"/>
      <c r="R14" s="145"/>
    </row>
    <row r="15" spans="1:39" outlineLevel="1" x14ac:dyDescent="0.3">
      <c r="B15" s="13" t="s">
        <v>132</v>
      </c>
      <c r="E15" s="228">
        <v>0.01</v>
      </c>
      <c r="G15" s="147"/>
      <c r="H15" s="154"/>
      <c r="I15" s="148">
        <f>I14-$E$15</f>
        <v>3.4999999999999996E-2</v>
      </c>
      <c r="J15" s="148">
        <f t="shared" ref="J15:O15" si="4">J14-$E$15</f>
        <v>3.5999999999999997E-2</v>
      </c>
      <c r="K15" s="148">
        <f t="shared" si="4"/>
        <v>3.4799999999999998E-2</v>
      </c>
      <c r="L15" s="148">
        <f t="shared" si="4"/>
        <v>3.3599999999999998E-2</v>
      </c>
      <c r="M15" s="148">
        <f t="shared" si="4"/>
        <v>3.2399999999999998E-2</v>
      </c>
      <c r="N15" s="148">
        <f t="shared" si="4"/>
        <v>3.1199999999999999E-2</v>
      </c>
      <c r="O15" s="149">
        <f t="shared" si="4"/>
        <v>0.03</v>
      </c>
      <c r="P15" s="143"/>
      <c r="Q15" s="143"/>
      <c r="R15" s="143"/>
    </row>
    <row r="16" spans="1:39" outlineLevel="1" x14ac:dyDescent="0.3"/>
    <row r="17" spans="2:18" outlineLevel="1" x14ac:dyDescent="0.3">
      <c r="B17" s="73" t="s">
        <v>133</v>
      </c>
      <c r="G17" s="135">
        <v>0.14499999999999999</v>
      </c>
      <c r="H17" s="152">
        <v>0.14499999999999999</v>
      </c>
      <c r="I17" s="139">
        <f>CHOOSE($C$4,I18,I19,I20)</f>
        <v>0.17799999999999999</v>
      </c>
      <c r="J17" s="139">
        <f t="shared" ref="J17" si="5">CHOOSE($C$4,J18,J19,J20)</f>
        <v>0.16166666666666665</v>
      </c>
      <c r="K17" s="139">
        <f t="shared" ref="K17" si="6">CHOOSE($C$4,K18,K19,K20)</f>
        <v>0.14533333333333331</v>
      </c>
      <c r="L17" s="139">
        <f t="shared" ref="L17" si="7">CHOOSE($C$4,L18,L19,L20)</f>
        <v>0.12899999999999998</v>
      </c>
      <c r="M17" s="139">
        <f t="shared" ref="M17" si="8">CHOOSE($C$4,M18,M19,M20)</f>
        <v>0.11266666666666664</v>
      </c>
      <c r="N17" s="139">
        <f t="shared" ref="N17" si="9">CHOOSE($C$4,N18,N19,N20)</f>
        <v>9.6333333333333299E-2</v>
      </c>
      <c r="O17" s="140">
        <f t="shared" ref="O17" si="10">CHOOSE($C$4,O18,O19,O20)</f>
        <v>0.08</v>
      </c>
      <c r="P17" s="143"/>
      <c r="Q17" s="143"/>
      <c r="R17" s="143"/>
    </row>
    <row r="18" spans="2:18" outlineLevel="1" x14ac:dyDescent="0.3">
      <c r="B18" s="13" t="s">
        <v>130</v>
      </c>
      <c r="E18" s="226">
        <v>0.01</v>
      </c>
      <c r="G18" s="155"/>
      <c r="H18" s="153"/>
      <c r="I18" s="142">
        <f>I19+$E$18</f>
        <v>0.188</v>
      </c>
      <c r="J18" s="142">
        <f t="shared" ref="J18:N18" si="11">J19+$E$18</f>
        <v>0.17166666666666666</v>
      </c>
      <c r="K18" s="142">
        <f t="shared" si="11"/>
        <v>0.15533333333333332</v>
      </c>
      <c r="L18" s="143">
        <f t="shared" si="11"/>
        <v>0.13899999999999998</v>
      </c>
      <c r="M18" s="142">
        <f t="shared" si="11"/>
        <v>0.12266666666666663</v>
      </c>
      <c r="N18" s="142">
        <f t="shared" si="11"/>
        <v>0.10633333333333329</v>
      </c>
      <c r="O18" s="144">
        <f>O19+$E$18</f>
        <v>0.09</v>
      </c>
      <c r="P18" s="143"/>
      <c r="Q18" s="143"/>
      <c r="R18" s="143"/>
    </row>
    <row r="19" spans="2:18" outlineLevel="1" x14ac:dyDescent="0.3">
      <c r="B19" s="13" t="s">
        <v>131</v>
      </c>
      <c r="E19" s="227">
        <v>0</v>
      </c>
      <c r="G19" s="141"/>
      <c r="H19" s="153"/>
      <c r="I19" s="145">
        <v>0.17799999999999999</v>
      </c>
      <c r="J19" s="143">
        <f>I19+($O$19-$I$19)/6</f>
        <v>0.16166666666666665</v>
      </c>
      <c r="K19" s="143">
        <f>J19+($O$19-$I$19)/6</f>
        <v>0.14533333333333331</v>
      </c>
      <c r="L19" s="143">
        <f>K19+($O$19-$I$19)/6</f>
        <v>0.12899999999999998</v>
      </c>
      <c r="M19" s="143">
        <f>L19+($O$19-$I$19)/6</f>
        <v>0.11266666666666664</v>
      </c>
      <c r="N19" s="143">
        <f>M19+($O$19-$I$19)/6</f>
        <v>9.6333333333333299E-2</v>
      </c>
      <c r="O19" s="146">
        <v>0.08</v>
      </c>
      <c r="P19" s="145"/>
      <c r="Q19" s="145"/>
      <c r="R19" s="145"/>
    </row>
    <row r="20" spans="2:18" outlineLevel="1" x14ac:dyDescent="0.3">
      <c r="B20" s="13" t="s">
        <v>132</v>
      </c>
      <c r="E20" s="228">
        <v>0.01</v>
      </c>
      <c r="G20" s="147"/>
      <c r="H20" s="154"/>
      <c r="I20" s="148">
        <f>I19-$E$20</f>
        <v>0.16799999999999998</v>
      </c>
      <c r="J20" s="148">
        <f t="shared" ref="J20:O20" si="12">J19-$E$20</f>
        <v>0.15166666666666664</v>
      </c>
      <c r="K20" s="148">
        <f t="shared" si="12"/>
        <v>0.13533333333333331</v>
      </c>
      <c r="L20" s="148">
        <f t="shared" si="12"/>
        <v>0.11899999999999998</v>
      </c>
      <c r="M20" s="148">
        <f t="shared" si="12"/>
        <v>0.10266666666666664</v>
      </c>
      <c r="N20" s="148">
        <f t="shared" si="12"/>
        <v>8.6333333333333304E-2</v>
      </c>
      <c r="O20" s="149">
        <f t="shared" si="12"/>
        <v>7.0000000000000007E-2</v>
      </c>
      <c r="P20" s="143"/>
      <c r="Q20" s="143"/>
      <c r="R20" s="143"/>
    </row>
    <row r="21" spans="2:18" outlineLevel="1" x14ac:dyDescent="0.3"/>
    <row r="22" spans="2:18" outlineLevel="1" x14ac:dyDescent="0.3">
      <c r="B22" s="138" t="s">
        <v>134</v>
      </c>
      <c r="G22" s="135">
        <v>8.9999999999999993E-3</v>
      </c>
      <c r="H22" s="150">
        <v>2.1999999999999999E-2</v>
      </c>
      <c r="I22" s="136">
        <f>'FS Model'!J15/'FS Model'!I15-1</f>
        <v>-3.4495109762201714E-2</v>
      </c>
      <c r="J22" s="136">
        <f>'FS Model'!K15/'FS Model'!J15-1</f>
        <v>-2.2803920572514458E-2</v>
      </c>
      <c r="K22" s="136">
        <f>'FS Model'!L15/'FS Model'!K15-1</f>
        <v>-1.1798057676606244E-2</v>
      </c>
      <c r="L22" s="136">
        <f>'FS Model'!M15/'FS Model'!L15-1</f>
        <v>-3.6661157170800873E-3</v>
      </c>
      <c r="M22" s="136">
        <f>'FS Model'!N15/'FS Model'!M15-1</f>
        <v>4.4600416075266658E-3</v>
      </c>
      <c r="N22" s="136">
        <f>'FS Model'!O15/'FS Model'!N15-1</f>
        <v>1.2581297255048085E-2</v>
      </c>
      <c r="O22" s="137">
        <f>'FS Model'!P15/'FS Model'!O15-1</f>
        <v>2.0698545015203296E-2</v>
      </c>
      <c r="P22" s="143"/>
      <c r="Q22" s="143"/>
      <c r="R22" s="143"/>
    </row>
    <row r="23" spans="2:18" outlineLevel="1" x14ac:dyDescent="0.3"/>
    <row r="24" spans="2:18" outlineLevel="1" x14ac:dyDescent="0.3">
      <c r="B24" s="73" t="s">
        <v>135</v>
      </c>
      <c r="G24" s="135">
        <v>-2E-3</v>
      </c>
      <c r="H24" s="152">
        <v>3.2000000000000001E-2</v>
      </c>
      <c r="I24" s="139">
        <f>CHOOSE($C$4,I25,I26,I27)</f>
        <v>-0.03</v>
      </c>
      <c r="J24" s="139">
        <f t="shared" ref="J24" si="13">CHOOSE($C$4,J25,J26,J27)</f>
        <v>-2.1666666666666667E-2</v>
      </c>
      <c r="K24" s="139">
        <f t="shared" ref="K24" si="14">CHOOSE($C$4,K25,K26,K27)</f>
        <v>-1.3333333333333334E-2</v>
      </c>
      <c r="L24" s="139">
        <f t="shared" ref="L24" si="15">CHOOSE($C$4,L25,L26,L27)</f>
        <v>-5.000000000000001E-3</v>
      </c>
      <c r="M24" s="139">
        <f t="shared" ref="M24" si="16">CHOOSE($C$4,M25,M26,M27)</f>
        <v>3.3333333333333322E-3</v>
      </c>
      <c r="N24" s="139">
        <f t="shared" ref="N24" si="17">CHOOSE($C$4,N25,N26,N27)</f>
        <v>1.1666666666666665E-2</v>
      </c>
      <c r="O24" s="140">
        <f t="shared" ref="O24" si="18">CHOOSE($C$4,O25,O26,O27)</f>
        <v>0.02</v>
      </c>
      <c r="P24" s="143"/>
      <c r="Q24" s="143"/>
      <c r="R24" s="143"/>
    </row>
    <row r="25" spans="2:18" outlineLevel="1" x14ac:dyDescent="0.3">
      <c r="B25" s="13" t="s">
        <v>130</v>
      </c>
      <c r="E25" s="226">
        <v>0.01</v>
      </c>
      <c r="G25" s="155"/>
      <c r="H25" s="153"/>
      <c r="I25" s="142">
        <f>I26+$E$25</f>
        <v>-1.9999999999999997E-2</v>
      </c>
      <c r="J25" s="142">
        <f t="shared" ref="J25:O25" si="19">J26+$E$25</f>
        <v>-1.1666666666666667E-2</v>
      </c>
      <c r="K25" s="142">
        <f t="shared" si="19"/>
        <v>-3.333333333333334E-3</v>
      </c>
      <c r="L25" s="143">
        <f t="shared" si="19"/>
        <v>4.9999999999999992E-3</v>
      </c>
      <c r="M25" s="142">
        <f t="shared" si="19"/>
        <v>1.3333333333333332E-2</v>
      </c>
      <c r="N25" s="142">
        <f t="shared" si="19"/>
        <v>2.1666666666666667E-2</v>
      </c>
      <c r="O25" s="144">
        <f t="shared" si="19"/>
        <v>0.03</v>
      </c>
      <c r="P25" s="143"/>
      <c r="Q25" s="143"/>
      <c r="R25" s="143"/>
    </row>
    <row r="26" spans="2:18" outlineLevel="1" x14ac:dyDescent="0.3">
      <c r="B26" s="13" t="s">
        <v>131</v>
      </c>
      <c r="E26" s="227">
        <v>0</v>
      </c>
      <c r="G26" s="141"/>
      <c r="H26" s="153"/>
      <c r="I26" s="145">
        <v>-0.03</v>
      </c>
      <c r="J26" s="143">
        <f>I26+($O$26-$I$26)/6</f>
        <v>-2.1666666666666667E-2</v>
      </c>
      <c r="K26" s="143">
        <f t="shared" ref="K26:N26" si="20">J26+($O$26-$I$26)/6</f>
        <v>-1.3333333333333334E-2</v>
      </c>
      <c r="L26" s="143">
        <f t="shared" si="20"/>
        <v>-5.000000000000001E-3</v>
      </c>
      <c r="M26" s="143">
        <f t="shared" si="20"/>
        <v>3.3333333333333322E-3</v>
      </c>
      <c r="N26" s="143">
        <f t="shared" si="20"/>
        <v>1.1666666666666665E-2</v>
      </c>
      <c r="O26" s="146">
        <v>0.02</v>
      </c>
      <c r="P26" s="145"/>
      <c r="Q26" s="145"/>
      <c r="R26" s="145"/>
    </row>
    <row r="27" spans="2:18" outlineLevel="1" x14ac:dyDescent="0.3">
      <c r="B27" s="13" t="s">
        <v>132</v>
      </c>
      <c r="E27" s="228">
        <v>0.01</v>
      </c>
      <c r="G27" s="147"/>
      <c r="H27" s="154"/>
      <c r="I27" s="148">
        <f>I26-$E$27</f>
        <v>-0.04</v>
      </c>
      <c r="J27" s="148">
        <f t="shared" ref="J27:O27" si="21">J26-$E$27</f>
        <v>-3.1666666666666669E-2</v>
      </c>
      <c r="K27" s="148">
        <f t="shared" si="21"/>
        <v>-2.3333333333333334E-2</v>
      </c>
      <c r="L27" s="148">
        <f t="shared" si="21"/>
        <v>-1.5000000000000001E-2</v>
      </c>
      <c r="M27" s="148">
        <f t="shared" si="21"/>
        <v>-6.666666666666668E-3</v>
      </c>
      <c r="N27" s="148">
        <f t="shared" si="21"/>
        <v>1.6666666666666653E-3</v>
      </c>
      <c r="O27" s="149">
        <f t="shared" si="21"/>
        <v>0.01</v>
      </c>
      <c r="P27" s="143"/>
      <c r="Q27" s="143"/>
      <c r="R27" s="143"/>
    </row>
    <row r="28" spans="2:18" outlineLevel="1" x14ac:dyDescent="0.3"/>
    <row r="29" spans="2:18" outlineLevel="1" x14ac:dyDescent="0.3">
      <c r="B29" s="73" t="s">
        <v>136</v>
      </c>
      <c r="G29" s="135">
        <v>7.1999999999999995E-2</v>
      </c>
      <c r="H29" s="152">
        <v>-3.5000000000000003E-2</v>
      </c>
      <c r="I29" s="139">
        <f>CHOOSE($C$4,I30,I31,I32)</f>
        <v>-6.2E-2</v>
      </c>
      <c r="J29" s="139">
        <f t="shared" ref="J29" si="22">CHOOSE($C$4,J30,J31,J32)</f>
        <v>-0.03</v>
      </c>
      <c r="K29" s="139">
        <f t="shared" ref="K29" si="23">CHOOSE($C$4,K30,K31,K32)</f>
        <v>-2E-3</v>
      </c>
      <c r="L29" s="139">
        <f t="shared" ref="L29" si="24">CHOOSE($C$4,L30,L31,L32)</f>
        <v>4.7500000000000007E-3</v>
      </c>
      <c r="M29" s="139">
        <f t="shared" ref="M29" si="25">CHOOSE($C$4,M30,M31,M32)</f>
        <v>1.1500000000000002E-2</v>
      </c>
      <c r="N29" s="139">
        <f t="shared" ref="N29" si="26">CHOOSE($C$4,N30,N31,N32)</f>
        <v>1.8250000000000002E-2</v>
      </c>
      <c r="O29" s="140">
        <f t="shared" ref="O29" si="27">CHOOSE($C$4,O30,O31,O32)</f>
        <v>2.5000000000000001E-2</v>
      </c>
      <c r="P29" s="143"/>
      <c r="Q29" s="143"/>
      <c r="R29" s="143"/>
    </row>
    <row r="30" spans="2:18" outlineLevel="1" x14ac:dyDescent="0.3">
      <c r="B30" s="13" t="s">
        <v>130</v>
      </c>
      <c r="E30" s="226">
        <v>0.01</v>
      </c>
      <c r="G30" s="155"/>
      <c r="H30" s="153"/>
      <c r="I30" s="142">
        <f>I31+$E$30</f>
        <v>-5.1999999999999998E-2</v>
      </c>
      <c r="J30" s="142">
        <f t="shared" ref="J30:O30" si="28">J31+$E$30</f>
        <v>-1.9999999999999997E-2</v>
      </c>
      <c r="K30" s="142">
        <f t="shared" si="28"/>
        <v>8.0000000000000002E-3</v>
      </c>
      <c r="L30" s="143">
        <f t="shared" si="28"/>
        <v>1.4750000000000001E-2</v>
      </c>
      <c r="M30" s="142">
        <f t="shared" si="28"/>
        <v>2.1500000000000002E-2</v>
      </c>
      <c r="N30" s="142">
        <f t="shared" si="28"/>
        <v>2.8250000000000004E-2</v>
      </c>
      <c r="O30" s="144">
        <f t="shared" si="28"/>
        <v>3.5000000000000003E-2</v>
      </c>
      <c r="P30" s="143"/>
      <c r="Q30" s="143"/>
      <c r="R30" s="143"/>
    </row>
    <row r="31" spans="2:18" outlineLevel="1" x14ac:dyDescent="0.3">
      <c r="B31" s="13" t="s">
        <v>131</v>
      </c>
      <c r="E31" s="227">
        <v>0</v>
      </c>
      <c r="G31" s="141"/>
      <c r="H31" s="153"/>
      <c r="I31" s="145">
        <v>-6.2E-2</v>
      </c>
      <c r="J31" s="145">
        <v>-0.03</v>
      </c>
      <c r="K31" s="145">
        <v>-2E-3</v>
      </c>
      <c r="L31" s="143">
        <f>K31+($O$31-$K$31)/4</f>
        <v>4.7500000000000007E-3</v>
      </c>
      <c r="M31" s="143">
        <f t="shared" ref="M31:N31" si="29">L31+($O$31-$K$31)/4</f>
        <v>1.1500000000000002E-2</v>
      </c>
      <c r="N31" s="143">
        <f t="shared" si="29"/>
        <v>1.8250000000000002E-2</v>
      </c>
      <c r="O31" s="146">
        <v>2.5000000000000001E-2</v>
      </c>
      <c r="P31" s="145"/>
      <c r="Q31" s="145"/>
      <c r="R31" s="145"/>
    </row>
    <row r="32" spans="2:18" outlineLevel="1" x14ac:dyDescent="0.3">
      <c r="B32" s="13" t="s">
        <v>132</v>
      </c>
      <c r="E32" s="228">
        <v>0.01</v>
      </c>
      <c r="G32" s="147"/>
      <c r="H32" s="154"/>
      <c r="I32" s="148">
        <f>I31-$E$32</f>
        <v>-7.1999999999999995E-2</v>
      </c>
      <c r="J32" s="148">
        <f t="shared" ref="J32:O32" si="30">J31-$E$32</f>
        <v>-0.04</v>
      </c>
      <c r="K32" s="148">
        <f t="shared" si="30"/>
        <v>-1.2E-2</v>
      </c>
      <c r="L32" s="148">
        <f t="shared" si="30"/>
        <v>-5.2499999999999995E-3</v>
      </c>
      <c r="M32" s="148">
        <f t="shared" si="30"/>
        <v>1.5000000000000013E-3</v>
      </c>
      <c r="N32" s="148">
        <f t="shared" si="30"/>
        <v>8.2500000000000021E-3</v>
      </c>
      <c r="O32" s="149">
        <f t="shared" si="30"/>
        <v>1.5000000000000001E-2</v>
      </c>
      <c r="P32" s="143"/>
      <c r="Q32" s="143"/>
      <c r="R32" s="143"/>
    </row>
    <row r="33" spans="2:29" outlineLevel="1" x14ac:dyDescent="0.3">
      <c r="Z33" s="31">
        <v>2023</v>
      </c>
      <c r="AA33" s="66">
        <f>Z33+1</f>
        <v>2024</v>
      </c>
      <c r="AB33" s="66">
        <f t="shared" ref="AB33:AC33" si="31">AA33+1</f>
        <v>2025</v>
      </c>
      <c r="AC33" s="66">
        <f t="shared" si="31"/>
        <v>2026</v>
      </c>
    </row>
    <row r="34" spans="2:29" ht="14.4" customHeight="1" outlineLevel="1" x14ac:dyDescent="0.3">
      <c r="B34" s="138"/>
      <c r="V34" s="66" t="s">
        <v>137</v>
      </c>
      <c r="Z34" s="92">
        <v>298669.94</v>
      </c>
      <c r="AA34" s="92">
        <v>313580</v>
      </c>
      <c r="AB34" s="92">
        <v>332600</v>
      </c>
      <c r="AC34" s="92">
        <v>344200</v>
      </c>
    </row>
    <row r="35" spans="2:29" outlineLevel="1" x14ac:dyDescent="0.3">
      <c r="B35" s="138" t="s">
        <v>138</v>
      </c>
      <c r="G35" s="135">
        <v>1.6E-2</v>
      </c>
      <c r="H35" s="152">
        <v>9.5000000000000001E-2</v>
      </c>
      <c r="I35" s="152">
        <v>-1.9E-2</v>
      </c>
      <c r="J35" s="139">
        <f>I35+($O$35-$I$35)/6</f>
        <v>-1.3333333333333332E-2</v>
      </c>
      <c r="K35" s="139">
        <f t="shared" ref="K35:N35" si="32">J35+($O$35-$I$35)/6</f>
        <v>-7.6666666666666654E-3</v>
      </c>
      <c r="L35" s="139">
        <f t="shared" si="32"/>
        <v>-1.9999999999999983E-3</v>
      </c>
      <c r="M35" s="139">
        <f t="shared" si="32"/>
        <v>3.6666666666666688E-3</v>
      </c>
      <c r="N35" s="139">
        <f t="shared" si="32"/>
        <v>9.3333333333333358E-3</v>
      </c>
      <c r="O35" s="160">
        <v>1.4999999999999999E-2</v>
      </c>
      <c r="V35" s="66" t="s">
        <v>139</v>
      </c>
      <c r="AA35" s="159">
        <f>AA34/Z34-1</f>
        <v>4.9921528761816436E-2</v>
      </c>
      <c r="AB35" s="159">
        <f t="shared" ref="AB35:AC35" si="33">AB34/AA34-1</f>
        <v>6.0654378468014469E-2</v>
      </c>
      <c r="AC35" s="159">
        <f t="shared" si="33"/>
        <v>3.4876728803367341E-2</v>
      </c>
    </row>
    <row r="36" spans="2:29" ht="15.6" outlineLevel="1" x14ac:dyDescent="0.3">
      <c r="B36" s="134"/>
      <c r="O36" s="31"/>
    </row>
    <row r="37" spans="2:29" outlineLevel="1" x14ac:dyDescent="0.3">
      <c r="B37" s="138" t="s">
        <v>140</v>
      </c>
      <c r="G37" s="135">
        <v>7.1999999999999995E-2</v>
      </c>
      <c r="H37" s="152">
        <v>-3.5000000000000003E-2</v>
      </c>
      <c r="I37" s="152">
        <v>-2E-3</v>
      </c>
      <c r="J37" s="139">
        <f>I37+($O$37-$I$37)/6</f>
        <v>8.333333333333335E-4</v>
      </c>
      <c r="K37" s="139">
        <f t="shared" ref="K37:N37" si="34">J37+($O$37-$I$37)/6</f>
        <v>3.666666666666667E-3</v>
      </c>
      <c r="L37" s="139">
        <f t="shared" si="34"/>
        <v>6.5000000000000006E-3</v>
      </c>
      <c r="M37" s="139">
        <f t="shared" si="34"/>
        <v>9.3333333333333341E-3</v>
      </c>
      <c r="N37" s="139">
        <f t="shared" si="34"/>
        <v>1.2166666666666668E-2</v>
      </c>
      <c r="O37" s="160">
        <v>1.4999999999999999E-2</v>
      </c>
    </row>
    <row r="38" spans="2:29" ht="15" outlineLevel="1" thickBot="1" x14ac:dyDescent="0.35">
      <c r="B38" s="138"/>
      <c r="X38" s="156" t="s">
        <v>141</v>
      </c>
      <c r="Y38" s="156"/>
      <c r="Z38" s="156"/>
      <c r="AA38" s="156"/>
    </row>
    <row r="39" spans="2:29" ht="15" outlineLevel="1" thickBot="1" x14ac:dyDescent="0.35">
      <c r="G39" s="266" t="s">
        <v>123</v>
      </c>
      <c r="H39" s="261">
        <v>2023</v>
      </c>
      <c r="I39" s="270">
        <f t="shared" ref="I39:O39" si="35">I4</f>
        <v>2024</v>
      </c>
      <c r="J39" s="270">
        <f t="shared" si="35"/>
        <v>2025</v>
      </c>
      <c r="K39" s="270">
        <f t="shared" si="35"/>
        <v>2026</v>
      </c>
      <c r="L39" s="270">
        <f t="shared" si="35"/>
        <v>2027</v>
      </c>
      <c r="M39" s="270">
        <f t="shared" si="35"/>
        <v>2028</v>
      </c>
      <c r="N39" s="270">
        <f t="shared" si="35"/>
        <v>2029</v>
      </c>
      <c r="O39" s="270">
        <f t="shared" si="35"/>
        <v>2030</v>
      </c>
    </row>
    <row r="40" spans="2:29" outlineLevel="1" x14ac:dyDescent="0.3"/>
    <row r="41" spans="2:29" ht="15.6" outlineLevel="1" x14ac:dyDescent="0.3">
      <c r="B41" s="134" t="s">
        <v>142</v>
      </c>
      <c r="G41" s="161">
        <v>0.7791579830907911</v>
      </c>
      <c r="H41" s="150">
        <v>0.77502133141490015</v>
      </c>
      <c r="I41" s="139">
        <f>CHOOSE($C$4,I42,I43,I44)</f>
        <v>0.76689233569041582</v>
      </c>
      <c r="J41" s="139">
        <f t="shared" ref="J41" si="36">CHOOSE($C$4,J42,J43,J44)</f>
        <v>0.76200000000000001</v>
      </c>
      <c r="K41" s="139">
        <f t="shared" ref="K41" si="37">CHOOSE($C$4,K42,K43,K44)</f>
        <v>0.75800000000000001</v>
      </c>
      <c r="L41" s="139">
        <f t="shared" ref="L41" si="38">CHOOSE($C$4,L42,L43,L44)</f>
        <v>0.754</v>
      </c>
      <c r="M41" s="139">
        <f t="shared" ref="M41" si="39">CHOOSE($C$4,M42,M43,M44)</f>
        <v>0.75</v>
      </c>
      <c r="N41" s="139">
        <f t="shared" ref="N41" si="40">CHOOSE($C$4,N42,N43,N44)</f>
        <v>0.746</v>
      </c>
      <c r="O41" s="140">
        <f t="shared" ref="O41" si="41">CHOOSE($C$4,O42,O43,O44)</f>
        <v>0.74199999999999999</v>
      </c>
    </row>
    <row r="42" spans="2:29" outlineLevel="1" x14ac:dyDescent="0.3">
      <c r="B42" s="163" t="s">
        <v>130</v>
      </c>
      <c r="E42" s="230">
        <v>0.01</v>
      </c>
      <c r="G42" s="155"/>
      <c r="H42" s="153"/>
      <c r="I42" s="142">
        <f>I43-$E$42</f>
        <v>0.75689233569041581</v>
      </c>
      <c r="J42" s="142">
        <f t="shared" ref="J42:O42" si="42">J43-$E$42</f>
        <v>0.752</v>
      </c>
      <c r="K42" s="142">
        <f t="shared" si="42"/>
        <v>0.748</v>
      </c>
      <c r="L42" s="143">
        <f t="shared" si="42"/>
        <v>0.74399999999999999</v>
      </c>
      <c r="M42" s="142">
        <f t="shared" si="42"/>
        <v>0.74</v>
      </c>
      <c r="N42" s="142">
        <f t="shared" si="42"/>
        <v>0.73599999999999999</v>
      </c>
      <c r="O42" s="144">
        <f t="shared" si="42"/>
        <v>0.73199999999999998</v>
      </c>
    </row>
    <row r="43" spans="2:29" outlineLevel="1" x14ac:dyDescent="0.3">
      <c r="B43" s="162" t="s">
        <v>131</v>
      </c>
      <c r="E43" s="227">
        <v>0</v>
      </c>
      <c r="G43" s="141"/>
      <c r="H43" s="153"/>
      <c r="I43" s="145">
        <v>0.76689233569041582</v>
      </c>
      <c r="J43" s="145">
        <v>0.76200000000000001</v>
      </c>
      <c r="K43" s="145">
        <v>0.75800000000000001</v>
      </c>
      <c r="L43" s="143">
        <f>K43+($O$43-$K$43)/4</f>
        <v>0.754</v>
      </c>
      <c r="M43" s="143">
        <f t="shared" ref="M43:N43" si="43">L43+($O$43-$K$43)/4</f>
        <v>0.75</v>
      </c>
      <c r="N43" s="143">
        <f t="shared" si="43"/>
        <v>0.746</v>
      </c>
      <c r="O43" s="146">
        <v>0.74199999999999999</v>
      </c>
    </row>
    <row r="44" spans="2:29" outlineLevel="1" x14ac:dyDescent="0.3">
      <c r="B44" s="162" t="s">
        <v>132</v>
      </c>
      <c r="E44" s="229">
        <v>0.01</v>
      </c>
      <c r="G44" s="147"/>
      <c r="H44" s="154"/>
      <c r="I44" s="148">
        <f>I43+$E$44</f>
        <v>0.77689233569041583</v>
      </c>
      <c r="J44" s="148">
        <f t="shared" ref="J44:O44" si="44">J43+$E$44</f>
        <v>0.77200000000000002</v>
      </c>
      <c r="K44" s="148">
        <f t="shared" si="44"/>
        <v>0.76800000000000002</v>
      </c>
      <c r="L44" s="148">
        <f t="shared" si="44"/>
        <v>0.76400000000000001</v>
      </c>
      <c r="M44" s="148">
        <f t="shared" si="44"/>
        <v>0.76</v>
      </c>
      <c r="N44" s="148">
        <f t="shared" si="44"/>
        <v>0.75600000000000001</v>
      </c>
      <c r="O44" s="149">
        <f t="shared" si="44"/>
        <v>0.752</v>
      </c>
    </row>
    <row r="45" spans="2:29" outlineLevel="1" x14ac:dyDescent="0.3"/>
    <row r="46" spans="2:29" ht="15.6" outlineLevel="1" x14ac:dyDescent="0.3">
      <c r="B46" s="134" t="s">
        <v>143</v>
      </c>
      <c r="G46" s="161">
        <v>0.1438861049633586</v>
      </c>
      <c r="H46" s="150">
        <v>0.14308611199411087</v>
      </c>
      <c r="I46" s="139">
        <f>CHOOSE($C$4,I47,I48,I49)</f>
        <v>0.14581402828539478</v>
      </c>
      <c r="J46" s="139">
        <f t="shared" ref="J46" si="45">CHOOSE($C$4,J47,J48,J49)</f>
        <v>0.13984502357116232</v>
      </c>
      <c r="K46" s="139">
        <f t="shared" ref="K46" si="46">CHOOSE($C$4,K47,K48,K49)</f>
        <v>0.13984502357116232</v>
      </c>
      <c r="L46" s="139">
        <f t="shared" ref="L46" si="47">CHOOSE($C$4,L47,L48,L49)</f>
        <v>0.13387601885692987</v>
      </c>
      <c r="M46" s="139">
        <f t="shared" ref="M46" si="48">CHOOSE($C$4,M47,M48,M49)</f>
        <v>0.12790701414269742</v>
      </c>
      <c r="N46" s="139">
        <f t="shared" ref="N46" si="49">CHOOSE($C$4,N47,N48,N49)</f>
        <v>0.12193800942846496</v>
      </c>
      <c r="O46" s="140">
        <f t="shared" ref="O46" si="50">CHOOSE($C$4,O47,O48,O49)</f>
        <v>0.11</v>
      </c>
    </row>
    <row r="47" spans="2:29" outlineLevel="1" x14ac:dyDescent="0.3">
      <c r="B47" s="163" t="s">
        <v>130</v>
      </c>
      <c r="E47" s="230">
        <v>1.4999999999999999E-2</v>
      </c>
      <c r="G47" s="155"/>
      <c r="H47" s="153"/>
      <c r="I47" s="142">
        <f t="shared" ref="I47:O47" si="51">I48-$E$47</f>
        <v>0.13081402828539479</v>
      </c>
      <c r="J47" s="142">
        <f t="shared" si="51"/>
        <v>0.12484502357116233</v>
      </c>
      <c r="K47" s="142">
        <f t="shared" si="51"/>
        <v>0.12484502357116233</v>
      </c>
      <c r="L47" s="143">
        <f t="shared" si="51"/>
        <v>0.11887601885692987</v>
      </c>
      <c r="M47" s="142">
        <f t="shared" si="51"/>
        <v>0.11290701414269742</v>
      </c>
      <c r="N47" s="142">
        <f t="shared" si="51"/>
        <v>0.10693800942846496</v>
      </c>
      <c r="O47" s="144">
        <f t="shared" si="51"/>
        <v>9.5000000000000001E-2</v>
      </c>
    </row>
    <row r="48" spans="2:29" outlineLevel="1" x14ac:dyDescent="0.3">
      <c r="B48" s="162" t="s">
        <v>131</v>
      </c>
      <c r="E48" s="227">
        <v>0</v>
      </c>
      <c r="G48" s="141"/>
      <c r="H48" s="153"/>
      <c r="I48" s="145">
        <v>0.14581402828539478</v>
      </c>
      <c r="J48" s="143">
        <f>I48+($O$48-$I$48)/6</f>
        <v>0.13984502357116232</v>
      </c>
      <c r="K48" s="143">
        <f>J48</f>
        <v>0.13984502357116232</v>
      </c>
      <c r="L48" s="143">
        <f>K48+($O$48-$I$48)/6</f>
        <v>0.13387601885692987</v>
      </c>
      <c r="M48" s="143">
        <f>L48+($O$48-$I$48)/6</f>
        <v>0.12790701414269742</v>
      </c>
      <c r="N48" s="143">
        <f>M48+($O$48-$I$48)/6</f>
        <v>0.12193800942846496</v>
      </c>
      <c r="O48" s="146">
        <v>0.11</v>
      </c>
    </row>
    <row r="49" spans="2:23" outlineLevel="1" x14ac:dyDescent="0.3">
      <c r="B49" s="162" t="s">
        <v>132</v>
      </c>
      <c r="E49" s="229">
        <v>1.4999999999999999E-2</v>
      </c>
      <c r="G49" s="147"/>
      <c r="H49" s="154"/>
      <c r="I49" s="148">
        <f t="shared" ref="I49:O49" si="52">I48+$E$49</f>
        <v>0.16081402828539476</v>
      </c>
      <c r="J49" s="148">
        <f t="shared" si="52"/>
        <v>0.15484502357116231</v>
      </c>
      <c r="K49" s="148">
        <f t="shared" si="52"/>
        <v>0.15484502357116231</v>
      </c>
      <c r="L49" s="148">
        <f t="shared" si="52"/>
        <v>0.14887601885692986</v>
      </c>
      <c r="M49" s="148">
        <f t="shared" si="52"/>
        <v>0.14290701414269741</v>
      </c>
      <c r="N49" s="148">
        <f t="shared" si="52"/>
        <v>0.13693800942846496</v>
      </c>
      <c r="O49" s="149">
        <f t="shared" si="52"/>
        <v>0.125</v>
      </c>
    </row>
    <row r="50" spans="2:23" outlineLevel="1" x14ac:dyDescent="0.3"/>
    <row r="51" spans="2:23" ht="15.6" outlineLevel="1" x14ac:dyDescent="0.3">
      <c r="B51" s="134" t="s">
        <v>144</v>
      </c>
      <c r="G51" s="161">
        <v>6.9085991613548892E-3</v>
      </c>
      <c r="H51" s="150">
        <v>6.990011878670258E-3</v>
      </c>
      <c r="I51" s="150">
        <v>6.8639285133198225E-3</v>
      </c>
      <c r="J51" s="139">
        <f t="shared" ref="J51:O51" si="53">I51</f>
        <v>6.8639285133198225E-3</v>
      </c>
      <c r="K51" s="139">
        <f t="shared" si="53"/>
        <v>6.8639285133198225E-3</v>
      </c>
      <c r="L51" s="139">
        <f t="shared" si="53"/>
        <v>6.8639285133198225E-3</v>
      </c>
      <c r="M51" s="139">
        <f t="shared" si="53"/>
        <v>6.8639285133198225E-3</v>
      </c>
      <c r="N51" s="139">
        <f t="shared" si="53"/>
        <v>6.8639285133198225E-3</v>
      </c>
      <c r="O51" s="140">
        <f t="shared" si="53"/>
        <v>6.8639285133198225E-3</v>
      </c>
    </row>
    <row r="52" spans="2:23" outlineLevel="1" x14ac:dyDescent="0.3"/>
    <row r="53" spans="2:23" ht="15.6" outlineLevel="1" x14ac:dyDescent="0.3">
      <c r="B53" s="134" t="s">
        <v>145</v>
      </c>
      <c r="G53" s="161">
        <v>2.0697101329708052E-3</v>
      </c>
      <c r="H53" s="150">
        <v>3.0717237456291515E-3</v>
      </c>
      <c r="I53" s="139">
        <f>CHOOSE($C$4,I54,I55,I56)</f>
        <v>3.0065019376637149E-3</v>
      </c>
      <c r="J53" s="139">
        <f t="shared" ref="J53" si="54">CHOOSE($C$4,J54,J55,J56)</f>
        <v>7.5054182813864287E-3</v>
      </c>
      <c r="K53" s="139">
        <f t="shared" ref="K53" si="55">CHOOSE($C$4,K54,K55,K56)</f>
        <v>1.2004334625109143E-2</v>
      </c>
      <c r="L53" s="139">
        <f t="shared" ref="L53" si="56">CHOOSE($C$4,L54,L55,L56)</f>
        <v>1.6503250968831859E-2</v>
      </c>
      <c r="M53" s="139">
        <f t="shared" ref="M53" si="57">CHOOSE($C$4,M54,M55,M56)</f>
        <v>2.1002167312554575E-2</v>
      </c>
      <c r="N53" s="139">
        <f t="shared" ref="N53" si="58">CHOOSE($C$4,N54,N55,N56)</f>
        <v>2.550108365627729E-2</v>
      </c>
      <c r="O53" s="140">
        <f t="shared" ref="O53" si="59">CHOOSE($C$4,O54,O55,O56)</f>
        <v>0.03</v>
      </c>
    </row>
    <row r="54" spans="2:23" outlineLevel="1" x14ac:dyDescent="0.3">
      <c r="B54" s="163" t="s">
        <v>130</v>
      </c>
      <c r="E54" s="230">
        <v>2E-3</v>
      </c>
      <c r="G54" s="155"/>
      <c r="H54" s="153"/>
      <c r="I54" s="142">
        <f>I55</f>
        <v>3.0065019376637149E-3</v>
      </c>
      <c r="J54" s="142">
        <f>J55</f>
        <v>7.5054182813864287E-3</v>
      </c>
      <c r="K54" s="142">
        <f>K55-$E$54</f>
        <v>1.0004334625109143E-2</v>
      </c>
      <c r="L54" s="143">
        <f>L55-$E$54</f>
        <v>1.4503250968831859E-2</v>
      </c>
      <c r="M54" s="143">
        <f>M55-$E$54</f>
        <v>1.9002167312554573E-2</v>
      </c>
      <c r="N54" s="142">
        <f>N55-$E$54</f>
        <v>2.3501083656277288E-2</v>
      </c>
      <c r="O54" s="144">
        <f>O55-$E$54</f>
        <v>2.7999999999999997E-2</v>
      </c>
    </row>
    <row r="55" spans="2:23" outlineLevel="1" x14ac:dyDescent="0.3">
      <c r="B55" s="162" t="s">
        <v>131</v>
      </c>
      <c r="E55" s="227">
        <v>0</v>
      </c>
      <c r="G55" s="141"/>
      <c r="H55" s="153"/>
      <c r="I55" s="145">
        <v>3.0065019376637149E-3</v>
      </c>
      <c r="J55" s="143">
        <f>I55+($O$55-$I$55)/6</f>
        <v>7.5054182813864287E-3</v>
      </c>
      <c r="K55" s="143">
        <f>J55+($O$55-$I$55)/6</f>
        <v>1.2004334625109143E-2</v>
      </c>
      <c r="L55" s="143">
        <f>K55+($O$55-$I$55)/6</f>
        <v>1.6503250968831859E-2</v>
      </c>
      <c r="M55" s="143">
        <f>L55+($O$55-$I$55)/6</f>
        <v>2.1002167312554575E-2</v>
      </c>
      <c r="N55" s="143">
        <f>M55+($O$55-$I$55)/6</f>
        <v>2.550108365627729E-2</v>
      </c>
      <c r="O55" s="146">
        <v>0.03</v>
      </c>
    </row>
    <row r="56" spans="2:23" outlineLevel="1" x14ac:dyDescent="0.3">
      <c r="B56" s="162" t="s">
        <v>132</v>
      </c>
      <c r="E56" s="229">
        <v>5.0000000000000001E-3</v>
      </c>
      <c r="G56" s="147"/>
      <c r="H56" s="154"/>
      <c r="I56" s="148">
        <f>I55</f>
        <v>3.0065019376637149E-3</v>
      </c>
      <c r="J56" s="148">
        <f t="shared" ref="J56" si="60">J55</f>
        <v>7.5054182813864287E-3</v>
      </c>
      <c r="K56" s="148">
        <f>K55+$E$56</f>
        <v>1.7004334625109144E-2</v>
      </c>
      <c r="L56" s="148">
        <f>L55+$E$56</f>
        <v>2.150325096883186E-2</v>
      </c>
      <c r="M56" s="148">
        <f>M55+$E$56</f>
        <v>2.6002167312554576E-2</v>
      </c>
      <c r="N56" s="148">
        <f>N55+$E$56</f>
        <v>3.0501083656277291E-2</v>
      </c>
      <c r="O56" s="149">
        <f>O55+$E$56</f>
        <v>3.4999999999999996E-2</v>
      </c>
    </row>
    <row r="57" spans="2:23" outlineLevel="1" x14ac:dyDescent="0.3"/>
    <row r="58" spans="2:23" ht="15.6" outlineLevel="1" x14ac:dyDescent="0.3">
      <c r="B58" s="134" t="s">
        <v>146</v>
      </c>
      <c r="G58" s="161">
        <f>AD172</f>
        <v>3.326601693790511E-2</v>
      </c>
      <c r="H58" s="150">
        <f>AE172</f>
        <v>2.8850111257967912E-2</v>
      </c>
      <c r="I58" s="139">
        <f t="shared" ref="I58:K58" si="61">CHOOSE($C$4,I59,I60,I61)</f>
        <v>3.3260818768534643E-2</v>
      </c>
      <c r="J58" s="139">
        <f t="shared" ref="J58" si="62">CHOOSE($C$4,J59,J60,J61)</f>
        <v>3.3050682307112202E-2</v>
      </c>
      <c r="K58" s="139">
        <f t="shared" si="61"/>
        <v>3.284054584568976E-2</v>
      </c>
      <c r="L58" s="139">
        <f t="shared" ref="L58" si="63">CHOOSE($C$4,L59,L60,L61)</f>
        <v>3.2630409384267318E-2</v>
      </c>
      <c r="M58" s="139">
        <f t="shared" ref="M58" si="64">CHOOSE($C$4,M59,M60,M61)</f>
        <v>3.2420272922844877E-2</v>
      </c>
      <c r="N58" s="139">
        <f t="shared" ref="N58" si="65">CHOOSE($C$4,N59,N60,N61)</f>
        <v>3.2210136461422435E-2</v>
      </c>
      <c r="O58" s="140">
        <f t="shared" ref="O58" si="66">CHOOSE($C$4,O59,O60,O61)</f>
        <v>3.2000000000000001E-2</v>
      </c>
    </row>
    <row r="59" spans="2:23" outlineLevel="1" x14ac:dyDescent="0.3">
      <c r="B59" s="163" t="s">
        <v>130</v>
      </c>
      <c r="E59" s="230">
        <v>5.0000000000000001E-3</v>
      </c>
      <c r="G59" s="155"/>
      <c r="H59" s="153"/>
      <c r="I59" s="142">
        <f t="shared" ref="I59:O59" si="67">I60-$E$59</f>
        <v>2.8260818768534642E-2</v>
      </c>
      <c r="J59" s="142">
        <f t="shared" si="67"/>
        <v>2.8050682307112201E-2</v>
      </c>
      <c r="K59" s="142">
        <f t="shared" si="67"/>
        <v>2.7840545845689759E-2</v>
      </c>
      <c r="L59" s="143">
        <f t="shared" si="67"/>
        <v>2.7630409384267317E-2</v>
      </c>
      <c r="M59" s="143">
        <f t="shared" si="67"/>
        <v>2.7420272922844876E-2</v>
      </c>
      <c r="N59" s="142">
        <f t="shared" si="67"/>
        <v>2.7210136461422434E-2</v>
      </c>
      <c r="O59" s="144">
        <f t="shared" si="67"/>
        <v>2.7E-2</v>
      </c>
    </row>
    <row r="60" spans="2:23" outlineLevel="1" x14ac:dyDescent="0.3">
      <c r="B60" s="162" t="s">
        <v>131</v>
      </c>
      <c r="E60" s="227">
        <v>0</v>
      </c>
      <c r="G60" s="141"/>
      <c r="H60" s="153"/>
      <c r="I60" s="145">
        <v>3.3260818768534643E-2</v>
      </c>
      <c r="J60" s="143">
        <f>I60+($O$60-$I$60)/6</f>
        <v>3.3050682307112202E-2</v>
      </c>
      <c r="K60" s="143">
        <f>J60+($O$60-$I$60)/6</f>
        <v>3.284054584568976E-2</v>
      </c>
      <c r="L60" s="143">
        <f>K60+($O$60-$I$60)/6</f>
        <v>3.2630409384267318E-2</v>
      </c>
      <c r="M60" s="143">
        <f>L60+($O$60-$I$60)/6</f>
        <v>3.2420272922844877E-2</v>
      </c>
      <c r="N60" s="143">
        <f>M60+($O$60-$I$60)/6</f>
        <v>3.2210136461422435E-2</v>
      </c>
      <c r="O60" s="146">
        <v>3.2000000000000001E-2</v>
      </c>
    </row>
    <row r="61" spans="2:23" outlineLevel="1" x14ac:dyDescent="0.3">
      <c r="B61" s="162" t="s">
        <v>132</v>
      </c>
      <c r="E61" s="229">
        <v>5.0000000000000001E-3</v>
      </c>
      <c r="G61" s="147"/>
      <c r="H61" s="154"/>
      <c r="I61" s="148">
        <f t="shared" ref="I61:O61" si="68">I60+$E$61</f>
        <v>3.8260818768534641E-2</v>
      </c>
      <c r="J61" s="148">
        <f t="shared" si="68"/>
        <v>3.8050682307112199E-2</v>
      </c>
      <c r="K61" s="148">
        <f t="shared" si="68"/>
        <v>3.7840545845689758E-2</v>
      </c>
      <c r="L61" s="148">
        <f t="shared" si="68"/>
        <v>3.7630409384267316E-2</v>
      </c>
      <c r="M61" s="148">
        <f t="shared" si="68"/>
        <v>3.7420272922844874E-2</v>
      </c>
      <c r="N61" s="148">
        <f t="shared" si="68"/>
        <v>3.7210136461422433E-2</v>
      </c>
      <c r="O61" s="149">
        <f t="shared" si="68"/>
        <v>3.6999999999999998E-2</v>
      </c>
    </row>
    <row r="62" spans="2:23" outlineLevel="1" x14ac:dyDescent="0.3"/>
    <row r="63" spans="2:23" ht="15.6" outlineLevel="1" x14ac:dyDescent="0.3">
      <c r="B63" s="134" t="s">
        <v>147</v>
      </c>
      <c r="G63" s="161">
        <v>1.0796928076676125E-2</v>
      </c>
      <c r="H63" s="150">
        <v>8.3585685365812849E-3</v>
      </c>
      <c r="I63" s="150">
        <v>9.8395111964089468E-3</v>
      </c>
      <c r="J63" s="139">
        <f>I63+($O$63-$I$63)/6</f>
        <v>9.1995926636741221E-3</v>
      </c>
      <c r="K63" s="139">
        <f>J63+($O$63-$I$63)/6</f>
        <v>8.5596741309392974E-3</v>
      </c>
      <c r="L63" s="139">
        <f>K63+($O$63-$I$63)/6</f>
        <v>7.9197555982044726E-3</v>
      </c>
      <c r="M63" s="139">
        <f>L63+($O$63-$I$63)/6</f>
        <v>7.2798370654696479E-3</v>
      </c>
      <c r="N63" s="139">
        <f>M63+($O$63-$I$63)/6</f>
        <v>6.6399185327348231E-3</v>
      </c>
      <c r="O63" s="160">
        <v>6.0000000000000001E-3</v>
      </c>
    </row>
    <row r="64" spans="2:23" outlineLevel="1" x14ac:dyDescent="0.3">
      <c r="T64" s="66">
        <f>2</f>
        <v>2</v>
      </c>
    </row>
    <row r="65" spans="1:26" ht="15.6" outlineLevel="1" x14ac:dyDescent="0.3">
      <c r="B65" s="134" t="s">
        <v>148</v>
      </c>
      <c r="G65" s="161">
        <v>2.3997159080718696E-3</v>
      </c>
      <c r="H65" s="150">
        <v>2.4125411989091702E-3</v>
      </c>
      <c r="I65" s="150">
        <v>1.5372834490514532E-2</v>
      </c>
      <c r="J65" s="139">
        <f>I65+($O$65-$I$65)/6</f>
        <v>1.6977362075428777E-2</v>
      </c>
      <c r="K65" s="139">
        <f>J65+($O$65-$I$65)/6</f>
        <v>1.8581889660343021E-2</v>
      </c>
      <c r="L65" s="139">
        <f>K65+($O$65-$I$65)/6</f>
        <v>2.0186417245257264E-2</v>
      </c>
      <c r="M65" s="139">
        <f>L65+($O$65-$I$65)/6</f>
        <v>2.1790944830171508E-2</v>
      </c>
      <c r="N65" s="139">
        <f>M65+($O$65-$I$65)/6</f>
        <v>2.3395472415085751E-2</v>
      </c>
      <c r="O65" s="160">
        <v>2.5000000000000001E-2</v>
      </c>
    </row>
    <row r="66" spans="1:26" outlineLevel="1" x14ac:dyDescent="0.3"/>
    <row r="67" spans="1:26" ht="15.6" outlineLevel="1" x14ac:dyDescent="0.3">
      <c r="B67" s="134" t="s">
        <v>149</v>
      </c>
      <c r="E67" s="341">
        <v>0.01</v>
      </c>
      <c r="G67" s="320">
        <v>283</v>
      </c>
      <c r="H67" s="321">
        <v>437</v>
      </c>
      <c r="I67" s="321">
        <v>400</v>
      </c>
      <c r="J67" s="322">
        <f>AVERAGE($G$67:$I$67)*(1+$E$67)</f>
        <v>377.06666666666666</v>
      </c>
      <c r="K67" s="322">
        <f>J67*(1+$E$67)</f>
        <v>380.83733333333333</v>
      </c>
      <c r="L67" s="322">
        <f>K67*(1+$E$67)</f>
        <v>384.64570666666668</v>
      </c>
      <c r="M67" s="322">
        <f>L67*(1+$E$67)</f>
        <v>388.49216373333337</v>
      </c>
      <c r="N67" s="322">
        <f>M67*(1+$E$67)</f>
        <v>392.37708537066669</v>
      </c>
      <c r="O67" s="342">
        <f>N67*(1+$E$67)</f>
        <v>396.30085622437338</v>
      </c>
    </row>
    <row r="68" spans="1:26" outlineLevel="1" x14ac:dyDescent="0.3"/>
    <row r="69" spans="1:26" ht="15.6" outlineLevel="1" x14ac:dyDescent="0.3">
      <c r="B69" s="134" t="s">
        <v>150</v>
      </c>
    </row>
    <row r="70" spans="1:26" outlineLevel="1" x14ac:dyDescent="0.3">
      <c r="B70" s="66" t="s">
        <v>151</v>
      </c>
      <c r="F70" s="169" t="s">
        <v>152</v>
      </c>
      <c r="G70" s="202">
        <v>74.000799905302699</v>
      </c>
      <c r="H70" s="203">
        <v>76.4478091382108</v>
      </c>
      <c r="I70" s="203">
        <v>74.828104924882012</v>
      </c>
      <c r="J70" s="191">
        <f>AVERAGE(G70:I70)</f>
        <v>75.092237989465175</v>
      </c>
      <c r="K70" s="191">
        <f t="shared" ref="K70:O70" si="69">AVERAGE(H70:J70)</f>
        <v>75.456050684185996</v>
      </c>
      <c r="L70" s="191">
        <f t="shared" si="69"/>
        <v>75.12546453284439</v>
      </c>
      <c r="M70" s="191">
        <f t="shared" si="69"/>
        <v>75.224584402165192</v>
      </c>
      <c r="N70" s="191">
        <f t="shared" si="69"/>
        <v>75.268699873065188</v>
      </c>
      <c r="O70" s="211">
        <f t="shared" si="69"/>
        <v>75.206249602691585</v>
      </c>
    </row>
    <row r="71" spans="1:26" outlineLevel="1" x14ac:dyDescent="0.3">
      <c r="B71" s="66" t="s">
        <v>153</v>
      </c>
      <c r="F71" s="169" t="s">
        <v>152</v>
      </c>
      <c r="G71" s="204">
        <v>9.3259704625810258</v>
      </c>
      <c r="H71" s="29">
        <v>9.3275378962865698</v>
      </c>
      <c r="I71" s="29">
        <v>7.3425762677874609</v>
      </c>
      <c r="J71" s="38">
        <f>I71</f>
        <v>7.3425762677874609</v>
      </c>
      <c r="K71" s="38">
        <f t="shared" ref="K71:O71" si="70">J71</f>
        <v>7.3425762677874609</v>
      </c>
      <c r="L71" s="38">
        <f t="shared" si="70"/>
        <v>7.3425762677874609</v>
      </c>
      <c r="M71" s="38">
        <f t="shared" si="70"/>
        <v>7.3425762677874609</v>
      </c>
      <c r="N71" s="38">
        <f t="shared" si="70"/>
        <v>7.3425762677874609</v>
      </c>
      <c r="O71" s="212">
        <f t="shared" si="70"/>
        <v>7.3425762677874609</v>
      </c>
    </row>
    <row r="72" spans="1:26" outlineLevel="1" x14ac:dyDescent="0.3">
      <c r="B72" s="66" t="s">
        <v>154</v>
      </c>
      <c r="F72" s="169" t="s">
        <v>152</v>
      </c>
      <c r="G72" s="205">
        <v>23.664440004419564</v>
      </c>
      <c r="H72" s="206">
        <v>21.532603111143729</v>
      </c>
      <c r="I72" s="206">
        <v>20.585137495090951</v>
      </c>
      <c r="J72" s="194">
        <f>AVERAGE(G72:I72)</f>
        <v>21.927393536884747</v>
      </c>
      <c r="K72" s="194">
        <f>J72</f>
        <v>21.927393536884747</v>
      </c>
      <c r="L72" s="194">
        <f t="shared" ref="L72:O72" si="71">K72</f>
        <v>21.927393536884747</v>
      </c>
      <c r="M72" s="194">
        <f t="shared" si="71"/>
        <v>21.927393536884747</v>
      </c>
      <c r="N72" s="194">
        <f t="shared" si="71"/>
        <v>21.927393536884747</v>
      </c>
      <c r="O72" s="213">
        <f t="shared" si="71"/>
        <v>21.927393536884747</v>
      </c>
    </row>
    <row r="73" spans="1:26" outlineLevel="1" x14ac:dyDescent="0.3">
      <c r="B73" s="66" t="s">
        <v>155</v>
      </c>
      <c r="F73" s="169" t="s">
        <v>156</v>
      </c>
      <c r="G73" s="207">
        <v>3.3800482812797052E-2</v>
      </c>
      <c r="H73" s="208">
        <v>3.7529905807164012E-2</v>
      </c>
      <c r="I73" s="208">
        <v>3.4651355776347363E-2</v>
      </c>
      <c r="J73" s="143">
        <f>AVERAGE(G73:I73)</f>
        <v>3.5327248132102806E-2</v>
      </c>
      <c r="K73" s="143">
        <f t="shared" ref="K73:O73" si="72">AVERAGE(H73:J73)</f>
        <v>3.5836169905204725E-2</v>
      </c>
      <c r="L73" s="143">
        <f t="shared" si="72"/>
        <v>3.5271591271218296E-2</v>
      </c>
      <c r="M73" s="143">
        <f t="shared" si="72"/>
        <v>3.5478336436175269E-2</v>
      </c>
      <c r="N73" s="143">
        <f t="shared" si="72"/>
        <v>3.5528699204199432E-2</v>
      </c>
      <c r="O73" s="214">
        <f t="shared" si="72"/>
        <v>3.5426208970530997E-2</v>
      </c>
    </row>
    <row r="74" spans="1:26" outlineLevel="1" x14ac:dyDescent="0.3">
      <c r="B74" s="66" t="s">
        <v>157</v>
      </c>
      <c r="F74" s="169" t="s">
        <v>156</v>
      </c>
      <c r="G74" s="207">
        <v>4.7560288826793598E-2</v>
      </c>
      <c r="H74" s="208">
        <v>5.8433019357213366E-2</v>
      </c>
      <c r="I74" s="208">
        <v>6.4672918755947439E-2</v>
      </c>
      <c r="J74" s="143">
        <f>I74+($O$74-$I$74)/6</f>
        <v>6.3560765629956203E-2</v>
      </c>
      <c r="K74" s="143">
        <f>J74+($O$74-$I$74)/6</f>
        <v>6.2448612503964968E-2</v>
      </c>
      <c r="L74" s="143">
        <f>K74+($O$74-$I$74)/6</f>
        <v>6.1336459377973732E-2</v>
      </c>
      <c r="M74" s="143">
        <f>L74+($O$74-$I$74)/6</f>
        <v>6.0224306251982496E-2</v>
      </c>
      <c r="N74" s="143">
        <f>M74+($O$74-$I$74)/6</f>
        <v>5.911215312599126E-2</v>
      </c>
      <c r="O74" s="365">
        <v>5.8000000000000003E-2</v>
      </c>
    </row>
    <row r="75" spans="1:26" outlineLevel="1" x14ac:dyDescent="0.3">
      <c r="B75" s="66" t="s">
        <v>158</v>
      </c>
      <c r="F75" s="169" t="s">
        <v>156</v>
      </c>
      <c r="G75" s="209">
        <v>8.5801501526276705E-2</v>
      </c>
      <c r="H75" s="210">
        <v>8.1377256529086006E-2</v>
      </c>
      <c r="I75" s="210">
        <v>6.6630568166890419E-2</v>
      </c>
      <c r="J75" s="215">
        <f>AVERAGE(G75:I75)</f>
        <v>7.7936442074084372E-2</v>
      </c>
      <c r="K75" s="215">
        <f t="shared" ref="K75:O75" si="73">AVERAGE(H75:J75)</f>
        <v>7.5314755590020266E-2</v>
      </c>
      <c r="L75" s="215">
        <f t="shared" si="73"/>
        <v>7.3293921943665019E-2</v>
      </c>
      <c r="M75" s="215">
        <f t="shared" si="73"/>
        <v>7.5515039869256548E-2</v>
      </c>
      <c r="N75" s="215">
        <f t="shared" si="73"/>
        <v>7.470790580098062E-2</v>
      </c>
      <c r="O75" s="216">
        <f t="shared" si="73"/>
        <v>7.45056225379674E-2</v>
      </c>
    </row>
    <row r="76" spans="1:26" outlineLevel="1" x14ac:dyDescent="0.3"/>
    <row r="77" spans="1:26" ht="15" thickBot="1" x14ac:dyDescent="0.35"/>
    <row r="78" spans="1:26" ht="14.4" customHeight="1" x14ac:dyDescent="0.35">
      <c r="A78" s="66" t="s">
        <v>35</v>
      </c>
      <c r="B78" s="7" t="s">
        <v>159</v>
      </c>
      <c r="C78" s="7"/>
      <c r="D78" s="7"/>
      <c r="E78" s="7"/>
      <c r="F78" s="7"/>
      <c r="G78" s="45"/>
      <c r="H78" s="45"/>
      <c r="I78" s="45"/>
      <c r="J78" s="45"/>
      <c r="K78" s="45"/>
      <c r="L78" s="45"/>
      <c r="M78" s="45"/>
      <c r="N78" s="45"/>
      <c r="O78" s="45"/>
      <c r="U78" s="49" t="s">
        <v>160</v>
      </c>
      <c r="V78" s="48" t="s">
        <v>161</v>
      </c>
      <c r="W78" s="48" t="s">
        <v>162</v>
      </c>
      <c r="X78" s="48" t="s">
        <v>163</v>
      </c>
      <c r="Y78" s="48" t="s">
        <v>164</v>
      </c>
      <c r="Z78" s="48" t="s">
        <v>165</v>
      </c>
    </row>
    <row r="79" spans="1:26" ht="14.4" customHeight="1" outlineLevel="1" x14ac:dyDescent="0.3">
      <c r="U79" s="170" t="s">
        <v>3</v>
      </c>
      <c r="V79" s="171" t="s">
        <v>166</v>
      </c>
      <c r="W79" s="171" t="s">
        <v>166</v>
      </c>
      <c r="X79" s="171" t="s">
        <v>166</v>
      </c>
      <c r="Y79" s="171" t="s">
        <v>166</v>
      </c>
      <c r="Z79" s="172" t="s">
        <v>166</v>
      </c>
    </row>
    <row r="80" spans="1:26" ht="14.4" customHeight="1" outlineLevel="1" thickBot="1" x14ac:dyDescent="0.35">
      <c r="G80" s="266">
        <v>22</v>
      </c>
      <c r="H80" s="261">
        <v>23</v>
      </c>
      <c r="I80" s="270">
        <f>H80+1</f>
        <v>24</v>
      </c>
      <c r="J80" s="270">
        <f t="shared" ref="J80:O80" si="74">I80+1</f>
        <v>25</v>
      </c>
      <c r="K80" s="270">
        <f t="shared" si="74"/>
        <v>26</v>
      </c>
      <c r="L80" s="270">
        <f t="shared" si="74"/>
        <v>27</v>
      </c>
      <c r="M80" s="270">
        <f t="shared" si="74"/>
        <v>28</v>
      </c>
      <c r="N80" s="270">
        <f t="shared" si="74"/>
        <v>29</v>
      </c>
      <c r="O80" s="270">
        <f t="shared" si="74"/>
        <v>30</v>
      </c>
      <c r="U80" s="170" t="s">
        <v>167</v>
      </c>
      <c r="V80" s="173">
        <v>44196</v>
      </c>
      <c r="W80" s="173">
        <v>44561</v>
      </c>
      <c r="X80" s="173">
        <v>44926</v>
      </c>
      <c r="Y80" s="173">
        <v>45291</v>
      </c>
      <c r="Z80" s="174">
        <v>45565</v>
      </c>
    </row>
    <row r="81" spans="2:32" ht="14.4" customHeight="1" outlineLevel="1" x14ac:dyDescent="0.3">
      <c r="J81" s="267"/>
      <c r="U81" s="170" t="s">
        <v>168</v>
      </c>
      <c r="V81" s="173">
        <v>44270</v>
      </c>
      <c r="W81" s="173">
        <v>44634</v>
      </c>
      <c r="X81" s="173">
        <v>45005</v>
      </c>
      <c r="Y81" s="173">
        <v>45378</v>
      </c>
      <c r="Z81" s="174">
        <v>45603</v>
      </c>
    </row>
    <row r="82" spans="2:32" ht="14.4" customHeight="1" outlineLevel="1" x14ac:dyDescent="0.3">
      <c r="B82" s="134" t="s">
        <v>169</v>
      </c>
      <c r="F82" s="217" t="s">
        <v>170</v>
      </c>
      <c r="G82" s="218"/>
      <c r="H82" s="223"/>
      <c r="I82" s="219">
        <v>76.783000000000001</v>
      </c>
      <c r="J82" s="220">
        <f>I82+($O$82-$I$82)/6</f>
        <v>83.985833333333332</v>
      </c>
      <c r="K82" s="220">
        <f>J82+($O$82-$I$82)/6</f>
        <v>91.188666666666663</v>
      </c>
      <c r="L82" s="220">
        <f>K82+($O$82-$I$82)/6</f>
        <v>98.391499999999994</v>
      </c>
      <c r="M82" s="224">
        <f>L82+($O$82-$I$82)/6</f>
        <v>105.59433333333332</v>
      </c>
      <c r="N82" s="224">
        <f>M82+($O$82-$I$82)/6</f>
        <v>112.79716666666666</v>
      </c>
      <c r="O82" s="221">
        <v>120</v>
      </c>
      <c r="U82" s="170" t="s">
        <v>171</v>
      </c>
      <c r="V82" s="171" t="s">
        <v>172</v>
      </c>
      <c r="W82" s="171" t="s">
        <v>172</v>
      </c>
      <c r="X82" s="171" t="s">
        <v>172</v>
      </c>
      <c r="Y82" s="171" t="s">
        <v>172</v>
      </c>
      <c r="Z82" s="172" t="s">
        <v>172</v>
      </c>
    </row>
    <row r="83" spans="2:32" ht="14.4" customHeight="1" outlineLevel="1" x14ac:dyDescent="0.3">
      <c r="U83" s="170" t="s">
        <v>3</v>
      </c>
      <c r="V83" s="171"/>
      <c r="W83" s="171"/>
      <c r="X83" s="171"/>
      <c r="Y83" s="171"/>
      <c r="Z83" s="172"/>
    </row>
    <row r="84" spans="2:32" ht="14.4" customHeight="1" outlineLevel="1" x14ac:dyDescent="0.3">
      <c r="B84" s="138" t="s">
        <v>173</v>
      </c>
      <c r="G84" s="218"/>
      <c r="H84" s="223"/>
      <c r="I84" s="223"/>
      <c r="J84" s="139">
        <f t="shared" ref="J84:O84" si="75">IF($E$86=J$80,(J$82+$C85)/10000*$E$87,(J$82+$C85)/10000)</f>
        <v>6.6992916666666676E-3</v>
      </c>
      <c r="K84" s="139">
        <f t="shared" si="75"/>
        <v>1.4118866666666667E-2</v>
      </c>
      <c r="L84" s="139">
        <f t="shared" si="75"/>
        <v>1.4839150000000001E-2</v>
      </c>
      <c r="M84" s="139">
        <f t="shared" si="75"/>
        <v>1.5559433333333334E-2</v>
      </c>
      <c r="N84" s="139">
        <f t="shared" si="75"/>
        <v>1.6279716666666666E-2</v>
      </c>
      <c r="O84" s="140">
        <f t="shared" si="75"/>
        <v>1.7000000000000001E-2</v>
      </c>
      <c r="U84" s="175" t="s">
        <v>174</v>
      </c>
      <c r="V84" s="171"/>
      <c r="W84" s="171"/>
      <c r="X84" s="171"/>
      <c r="Y84" s="171"/>
      <c r="Z84" s="172"/>
    </row>
    <row r="85" spans="2:32" ht="14.4" customHeight="1" outlineLevel="1" x14ac:dyDescent="0.3">
      <c r="B85" s="122" t="s">
        <v>175</v>
      </c>
      <c r="C85" s="222">
        <f>'FS Transaction Details'!J39</f>
        <v>50</v>
      </c>
      <c r="U85" s="170" t="s">
        <v>79</v>
      </c>
      <c r="V85" s="176">
        <v>240953</v>
      </c>
      <c r="W85" s="176">
        <v>257891</v>
      </c>
      <c r="X85" s="176">
        <v>278783</v>
      </c>
      <c r="Y85" s="176">
        <v>298855</v>
      </c>
      <c r="Z85" s="177">
        <v>312109</v>
      </c>
    </row>
    <row r="86" spans="2:32" ht="14.4" customHeight="1" outlineLevel="1" x14ac:dyDescent="0.3">
      <c r="E86" s="444">
        <v>25</v>
      </c>
      <c r="U86" s="170" t="s">
        <v>176</v>
      </c>
      <c r="V86" s="176">
        <v>240953</v>
      </c>
      <c r="W86" s="176">
        <v>257891</v>
      </c>
      <c r="X86" s="176">
        <v>278783</v>
      </c>
      <c r="Y86" s="176">
        <v>298855</v>
      </c>
      <c r="Z86" s="177">
        <v>312109</v>
      </c>
    </row>
    <row r="87" spans="2:32" ht="14.4" customHeight="1" outlineLevel="1" x14ac:dyDescent="0.3">
      <c r="B87" s="138" t="s">
        <v>177</v>
      </c>
      <c r="E87" s="323">
        <v>0.5</v>
      </c>
      <c r="G87" s="218"/>
      <c r="H87" s="223"/>
      <c r="I87" s="223"/>
      <c r="J87" s="139">
        <f t="shared" ref="J87:O87" si="76">IF($E$86=J$80,(J$82+$C88)/10000*$E$87,(J$82+$C88)/10000)</f>
        <v>9.1992916666666681E-3</v>
      </c>
      <c r="K87" s="139">
        <f t="shared" si="76"/>
        <v>1.9118866666666668E-2</v>
      </c>
      <c r="L87" s="139">
        <f t="shared" si="76"/>
        <v>1.983915E-2</v>
      </c>
      <c r="M87" s="139">
        <f t="shared" si="76"/>
        <v>2.0559433333333335E-2</v>
      </c>
      <c r="N87" s="139">
        <f t="shared" si="76"/>
        <v>2.1279716666666667E-2</v>
      </c>
      <c r="O87" s="140">
        <f t="shared" si="76"/>
        <v>2.1999999999999999E-2</v>
      </c>
      <c r="U87" s="170" t="s">
        <v>178</v>
      </c>
      <c r="V87" s="176">
        <v>186105</v>
      </c>
      <c r="W87" s="176">
        <v>201055</v>
      </c>
      <c r="X87" s="176">
        <v>217216</v>
      </c>
      <c r="Y87" s="176">
        <v>231619</v>
      </c>
      <c r="Z87" s="177">
        <v>239354</v>
      </c>
    </row>
    <row r="88" spans="2:32" ht="14.4" customHeight="1" outlineLevel="1" x14ac:dyDescent="0.3">
      <c r="B88" s="122" t="s">
        <v>175</v>
      </c>
      <c r="C88" s="222">
        <f>'FS Transaction Details'!J40</f>
        <v>100</v>
      </c>
      <c r="U88" s="170" t="s">
        <v>179</v>
      </c>
      <c r="V88" s="176">
        <v>54848</v>
      </c>
      <c r="W88" s="176">
        <v>56836</v>
      </c>
      <c r="X88" s="176">
        <v>61567</v>
      </c>
      <c r="Y88" s="176">
        <v>67236</v>
      </c>
      <c r="Z88" s="177">
        <v>72755</v>
      </c>
      <c r="AB88" s="66">
        <v>2020</v>
      </c>
      <c r="AC88" s="66">
        <f>AB88+1</f>
        <v>2021</v>
      </c>
      <c r="AD88" s="66">
        <f t="shared" ref="AD88:AE88" si="77">AC88+1</f>
        <v>2022</v>
      </c>
      <c r="AE88" s="66">
        <f t="shared" si="77"/>
        <v>2023</v>
      </c>
      <c r="AF88" s="66">
        <f t="shared" ref="AF88" si="78">AE88+1</f>
        <v>2024</v>
      </c>
    </row>
    <row r="89" spans="2:32" ht="14.4" customHeight="1" outlineLevel="1" x14ac:dyDescent="0.3">
      <c r="U89" s="170" t="s">
        <v>3</v>
      </c>
      <c r="V89" s="171"/>
      <c r="W89" s="171"/>
      <c r="X89" s="171"/>
      <c r="Y89" s="171"/>
      <c r="Z89" s="172"/>
      <c r="AB89" s="165">
        <f>V90/V86</f>
        <v>0.14852689113644571</v>
      </c>
      <c r="AC89" s="165">
        <f t="shared" ref="AC89:AF89" si="79">W90/W86</f>
        <v>0.14254471850510486</v>
      </c>
      <c r="AD89" s="165">
        <f t="shared" si="79"/>
        <v>0.1438861049633586</v>
      </c>
      <c r="AE89" s="165">
        <f t="shared" si="79"/>
        <v>0.14308611199411087</v>
      </c>
      <c r="AF89" s="165">
        <f t="shared" si="79"/>
        <v>0.15046986789871486</v>
      </c>
    </row>
    <row r="90" spans="2:32" ht="14.4" customHeight="1" outlineLevel="1" x14ac:dyDescent="0.3">
      <c r="B90" s="138" t="s">
        <v>180</v>
      </c>
      <c r="G90" s="218"/>
      <c r="H90" s="223"/>
      <c r="I90" s="223"/>
      <c r="J90" s="139">
        <f t="shared" ref="J90:O90" si="80">IF($E$86=J$80,(J$82+$C91)/10000*$E$87,(J$82+$C91)/10000)</f>
        <v>1.0949291666666668E-2</v>
      </c>
      <c r="K90" s="139">
        <f t="shared" si="80"/>
        <v>2.2618866666666668E-2</v>
      </c>
      <c r="L90" s="139">
        <f t="shared" si="80"/>
        <v>2.3339149999999999E-2</v>
      </c>
      <c r="M90" s="139">
        <f t="shared" si="80"/>
        <v>2.4059433333333335E-2</v>
      </c>
      <c r="N90" s="139">
        <f t="shared" si="80"/>
        <v>2.4779716666666667E-2</v>
      </c>
      <c r="O90" s="140">
        <f t="shared" si="80"/>
        <v>2.5499999999999998E-2</v>
      </c>
      <c r="U90" s="170" t="s">
        <v>181</v>
      </c>
      <c r="V90" s="176">
        <v>35788</v>
      </c>
      <c r="W90" s="176">
        <v>36761</v>
      </c>
      <c r="X90" s="176">
        <v>40113</v>
      </c>
      <c r="Y90" s="176">
        <v>42762</v>
      </c>
      <c r="Z90" s="177">
        <v>46963</v>
      </c>
      <c r="AB90" s="165">
        <f>V95/V86</f>
        <v>7.4246844820359155E-3</v>
      </c>
      <c r="AC90" s="165">
        <f t="shared" ref="AC90:AF90" si="81">W95/W86</f>
        <v>7.4294954069742646E-3</v>
      </c>
      <c r="AD90" s="165">
        <f t="shared" si="81"/>
        <v>6.9085991613548892E-3</v>
      </c>
      <c r="AE90" s="165">
        <f t="shared" si="81"/>
        <v>6.990011878670258E-3</v>
      </c>
      <c r="AF90" s="165">
        <f t="shared" si="81"/>
        <v>6.6931744999343176E-3</v>
      </c>
    </row>
    <row r="91" spans="2:32" ht="14.4" customHeight="1" outlineLevel="1" x14ac:dyDescent="0.3">
      <c r="B91" s="122" t="s">
        <v>175</v>
      </c>
      <c r="C91" s="222">
        <f>'FS Transaction Details'!J41</f>
        <v>135</v>
      </c>
      <c r="U91" s="170" t="s">
        <v>182</v>
      </c>
      <c r="V91" s="176">
        <v>3</v>
      </c>
      <c r="W91" s="176">
        <v>-125</v>
      </c>
      <c r="X91" s="176">
        <v>-85</v>
      </c>
      <c r="Y91" s="176">
        <v>62</v>
      </c>
      <c r="Z91" s="177">
        <v>62</v>
      </c>
      <c r="AB91" s="165">
        <f>V92/V86</f>
        <v>2.6312185363950645E-3</v>
      </c>
      <c r="AC91" s="165">
        <f t="shared" ref="AC91:AF91" si="82">W92/W86</f>
        <v>2.4351373254592056E-3</v>
      </c>
      <c r="AD91" s="165">
        <f t="shared" si="82"/>
        <v>2.0697101329708052E-3</v>
      </c>
      <c r="AE91" s="165">
        <f t="shared" si="82"/>
        <v>3.0717237456291515E-3</v>
      </c>
      <c r="AF91" s="165">
        <f t="shared" si="82"/>
        <v>2.9412801296982787E-3</v>
      </c>
    </row>
    <row r="92" spans="2:32" ht="14.4" customHeight="1" outlineLevel="1" x14ac:dyDescent="0.3">
      <c r="U92" s="170" t="s">
        <v>183</v>
      </c>
      <c r="V92" s="176">
        <v>634</v>
      </c>
      <c r="W92" s="176">
        <v>628</v>
      </c>
      <c r="X92" s="176">
        <v>577</v>
      </c>
      <c r="Y92" s="176">
        <v>918</v>
      </c>
      <c r="Z92" s="177">
        <v>918</v>
      </c>
    </row>
    <row r="93" spans="2:32" ht="14.4" customHeight="1" outlineLevel="1" x14ac:dyDescent="0.3">
      <c r="B93" s="138" t="s">
        <v>24</v>
      </c>
      <c r="G93" s="218"/>
      <c r="H93" s="223"/>
      <c r="I93" s="223"/>
      <c r="J93" s="139">
        <f t="shared" ref="J93:O93" si="83">IF($E$86=J$80,$C94*$E$87,$C94)</f>
        <v>4.2500000000000003E-2</v>
      </c>
      <c r="K93" s="139">
        <f t="shared" si="83"/>
        <v>8.5000000000000006E-2</v>
      </c>
      <c r="L93" s="139">
        <f t="shared" si="83"/>
        <v>8.5000000000000006E-2</v>
      </c>
      <c r="M93" s="139">
        <f t="shared" si="83"/>
        <v>8.5000000000000006E-2</v>
      </c>
      <c r="N93" s="139">
        <f t="shared" si="83"/>
        <v>8.5000000000000006E-2</v>
      </c>
      <c r="O93" s="140">
        <f t="shared" si="83"/>
        <v>8.5000000000000006E-2</v>
      </c>
      <c r="U93" s="170" t="s">
        <v>184</v>
      </c>
      <c r="V93" s="176">
        <v>602</v>
      </c>
      <c r="W93" s="176">
        <v>633</v>
      </c>
      <c r="X93" s="176">
        <v>608</v>
      </c>
      <c r="Y93" s="176">
        <v>658</v>
      </c>
      <c r="Z93" s="177">
        <v>658</v>
      </c>
    </row>
    <row r="94" spans="2:32" ht="14.4" customHeight="1" outlineLevel="1" x14ac:dyDescent="0.3">
      <c r="B94" s="122" t="s">
        <v>185</v>
      </c>
      <c r="C94" s="225">
        <f>'FS Transaction Details'!K42</f>
        <v>8.5000000000000006E-2</v>
      </c>
      <c r="U94" s="170" t="s">
        <v>186</v>
      </c>
      <c r="V94" s="176">
        <v>59</v>
      </c>
      <c r="W94" s="176">
        <v>59</v>
      </c>
      <c r="X94" s="176">
        <v>61</v>
      </c>
      <c r="Y94" s="176">
        <v>63</v>
      </c>
      <c r="Z94" s="177">
        <v>63</v>
      </c>
    </row>
    <row r="95" spans="2:32" ht="14.4" customHeight="1" outlineLevel="1" x14ac:dyDescent="0.3">
      <c r="U95" s="170" t="s">
        <v>187</v>
      </c>
      <c r="V95" s="176">
        <v>1789</v>
      </c>
      <c r="W95" s="176">
        <v>1916</v>
      </c>
      <c r="X95" s="176">
        <v>1926</v>
      </c>
      <c r="Y95" s="176">
        <v>2089</v>
      </c>
      <c r="Z95" s="177">
        <v>2089</v>
      </c>
      <c r="AB95" s="164"/>
    </row>
    <row r="96" spans="2:32" ht="14.4" customHeight="1" outlineLevel="1" x14ac:dyDescent="0.3">
      <c r="B96" s="138" t="s">
        <v>188</v>
      </c>
      <c r="G96" s="218"/>
      <c r="H96" s="223"/>
      <c r="I96" s="223"/>
      <c r="J96" s="219">
        <v>0</v>
      </c>
      <c r="K96" s="219">
        <v>0</v>
      </c>
      <c r="L96" s="219">
        <v>0</v>
      </c>
      <c r="M96" s="219">
        <v>0</v>
      </c>
      <c r="N96" s="219">
        <v>0</v>
      </c>
      <c r="O96" s="221">
        <v>0</v>
      </c>
      <c r="U96" s="170" t="s">
        <v>189</v>
      </c>
      <c r="V96" s="176">
        <v>38875</v>
      </c>
      <c r="W96" s="176">
        <v>39872</v>
      </c>
      <c r="X96" s="176">
        <v>43200</v>
      </c>
      <c r="Y96" s="176">
        <v>46552</v>
      </c>
      <c r="Z96" s="177">
        <v>50753</v>
      </c>
    </row>
    <row r="97" spans="1:29" ht="14.4" customHeight="1" outlineLevel="1" x14ac:dyDescent="0.3">
      <c r="U97" s="170" t="s">
        <v>190</v>
      </c>
      <c r="V97" s="176">
        <v>15973</v>
      </c>
      <c r="W97" s="176">
        <v>16964</v>
      </c>
      <c r="X97" s="176">
        <v>18367</v>
      </c>
      <c r="Y97" s="176">
        <v>20684</v>
      </c>
      <c r="Z97" s="177">
        <v>22002</v>
      </c>
    </row>
    <row r="98" spans="1:29" ht="14.4" customHeight="1" outlineLevel="1" x14ac:dyDescent="0.3">
      <c r="B98" s="138" t="s">
        <v>191</v>
      </c>
      <c r="G98" s="218"/>
      <c r="H98" s="223"/>
      <c r="I98" s="223"/>
      <c r="J98" s="219">
        <v>0</v>
      </c>
      <c r="K98" s="219">
        <v>0</v>
      </c>
      <c r="L98" s="219">
        <v>0</v>
      </c>
      <c r="M98" s="219">
        <v>0</v>
      </c>
      <c r="N98" s="219">
        <v>0</v>
      </c>
      <c r="O98" s="221">
        <v>0</v>
      </c>
      <c r="U98" s="170" t="s">
        <v>3</v>
      </c>
      <c r="V98" s="171"/>
      <c r="W98" s="171"/>
      <c r="X98" s="171"/>
      <c r="Y98" s="171"/>
      <c r="Z98" s="172"/>
    </row>
    <row r="99" spans="1:29" ht="14.4" customHeight="1" outlineLevel="1" x14ac:dyDescent="0.3">
      <c r="U99" s="170" t="s">
        <v>192</v>
      </c>
      <c r="V99" s="176">
        <v>-65</v>
      </c>
      <c r="W99" s="176">
        <v>-58</v>
      </c>
      <c r="X99" s="176">
        <v>-49</v>
      </c>
      <c r="Y99" s="176">
        <v>-45</v>
      </c>
      <c r="Z99" s="177">
        <v>-146</v>
      </c>
    </row>
    <row r="100" spans="1:29" ht="14.4" customHeight="1" outlineLevel="1" x14ac:dyDescent="0.3">
      <c r="U100" s="170" t="s">
        <v>193</v>
      </c>
      <c r="V100" s="176">
        <v>299</v>
      </c>
      <c r="W100" s="176">
        <v>296</v>
      </c>
      <c r="X100" s="176">
        <v>318</v>
      </c>
      <c r="Y100" s="176">
        <v>482</v>
      </c>
      <c r="Z100" s="177">
        <v>480</v>
      </c>
    </row>
    <row r="101" spans="1:29" ht="14.4" customHeight="1" x14ac:dyDescent="0.3">
      <c r="A101" s="66" t="s">
        <v>3</v>
      </c>
      <c r="B101" s="186" t="s">
        <v>3</v>
      </c>
      <c r="C101" s="186" t="s">
        <v>3</v>
      </c>
      <c r="D101" s="186" t="s">
        <v>3</v>
      </c>
      <c r="E101" s="186" t="s">
        <v>3</v>
      </c>
      <c r="F101" s="186" t="s">
        <v>3</v>
      </c>
      <c r="G101" s="186" t="s">
        <v>3</v>
      </c>
      <c r="H101" s="186" t="s">
        <v>3</v>
      </c>
      <c r="I101" s="186" t="s">
        <v>3</v>
      </c>
      <c r="J101" s="186" t="s">
        <v>3</v>
      </c>
      <c r="K101" s="186" t="s">
        <v>3</v>
      </c>
      <c r="L101" s="186" t="s">
        <v>3</v>
      </c>
      <c r="M101" s="186" t="s">
        <v>3</v>
      </c>
      <c r="N101" s="186" t="s">
        <v>3</v>
      </c>
      <c r="O101" s="186" t="s">
        <v>3</v>
      </c>
      <c r="U101" s="170" t="s">
        <v>194</v>
      </c>
      <c r="V101" s="176">
        <v>234</v>
      </c>
      <c r="W101" s="176">
        <v>238</v>
      </c>
      <c r="X101" s="176">
        <v>269</v>
      </c>
      <c r="Y101" s="176">
        <v>437</v>
      </c>
      <c r="Z101" s="177">
        <v>334</v>
      </c>
    </row>
    <row r="102" spans="1:29" ht="14.4" customHeight="1" x14ac:dyDescent="0.3">
      <c r="B102" s="94"/>
      <c r="U102" s="170" t="s">
        <v>195</v>
      </c>
      <c r="V102" s="176">
        <v>292</v>
      </c>
      <c r="W102" s="176">
        <v>176</v>
      </c>
      <c r="X102" s="176">
        <v>35</v>
      </c>
      <c r="Y102" s="176">
        <v>-126</v>
      </c>
      <c r="Z102" s="177">
        <v>58</v>
      </c>
    </row>
    <row r="103" spans="1:29" ht="14.4" customHeight="1" x14ac:dyDescent="0.3">
      <c r="U103" s="170" t="s">
        <v>196</v>
      </c>
      <c r="V103" s="176">
        <v>-104</v>
      </c>
      <c r="W103" s="176">
        <v>578</v>
      </c>
      <c r="X103" s="176">
        <v>620</v>
      </c>
      <c r="Y103" s="176">
        <v>236</v>
      </c>
      <c r="Z103" s="177">
        <v>-31</v>
      </c>
    </row>
    <row r="104" spans="1:29" ht="14.4" customHeight="1" x14ac:dyDescent="0.3">
      <c r="U104" s="170" t="s">
        <v>197</v>
      </c>
      <c r="V104" s="176">
        <v>7</v>
      </c>
      <c r="W104" s="176">
        <v>190</v>
      </c>
      <c r="X104" s="176">
        <v>112</v>
      </c>
      <c r="Y104" s="176">
        <v>-1485</v>
      </c>
      <c r="Z104" s="177">
        <v>-1929</v>
      </c>
    </row>
    <row r="105" spans="1:29" ht="14.4" customHeight="1" x14ac:dyDescent="0.3">
      <c r="B105" s="23"/>
      <c r="U105" s="170" t="s">
        <v>198</v>
      </c>
      <c r="V105" s="176">
        <v>16402</v>
      </c>
      <c r="W105" s="176">
        <v>18146</v>
      </c>
      <c r="X105" s="176">
        <v>19403</v>
      </c>
      <c r="Y105" s="176">
        <v>19746</v>
      </c>
      <c r="Z105" s="177">
        <v>20434</v>
      </c>
    </row>
    <row r="106" spans="1:29" ht="14.4" customHeight="1" x14ac:dyDescent="0.3">
      <c r="U106" s="170" t="s">
        <v>199</v>
      </c>
      <c r="V106" s="176">
        <v>36</v>
      </c>
      <c r="W106" s="176">
        <v>527</v>
      </c>
      <c r="X106" s="176">
        <v>4</v>
      </c>
      <c r="Y106" s="176">
        <v>489</v>
      </c>
      <c r="Z106" s="177">
        <v>473</v>
      </c>
    </row>
    <row r="107" spans="1:29" ht="14.4" customHeight="1" x14ac:dyDescent="0.3">
      <c r="U107" s="170" t="s">
        <v>200</v>
      </c>
      <c r="V107" s="176">
        <v>-61</v>
      </c>
      <c r="W107" s="176">
        <v>-46</v>
      </c>
      <c r="X107" s="176">
        <v>-104</v>
      </c>
      <c r="Y107" s="176">
        <v>400</v>
      </c>
      <c r="Z107" s="177">
        <v>7885</v>
      </c>
    </row>
    <row r="108" spans="1:29" ht="14.4" customHeight="1" x14ac:dyDescent="0.3">
      <c r="B108" s="23"/>
      <c r="U108" s="170" t="s">
        <v>201</v>
      </c>
      <c r="V108" s="176">
        <v>-81</v>
      </c>
      <c r="W108" s="176">
        <v>-634</v>
      </c>
      <c r="X108" s="176">
        <v>-620</v>
      </c>
      <c r="Y108" s="176">
        <v>-127</v>
      </c>
      <c r="Z108" s="177">
        <v>-39</v>
      </c>
    </row>
    <row r="109" spans="1:29" ht="14.4" customHeight="1" x14ac:dyDescent="0.3">
      <c r="B109" s="23"/>
      <c r="U109" s="170" t="s">
        <v>202</v>
      </c>
      <c r="V109" s="176">
        <v>-650</v>
      </c>
      <c r="W109" s="176">
        <v>-328</v>
      </c>
      <c r="X109" s="176">
        <v>-399</v>
      </c>
      <c r="Y109" s="176">
        <v>-70</v>
      </c>
      <c r="Z109" s="177">
        <v>-235</v>
      </c>
    </row>
    <row r="110" spans="1:29" ht="14.4" customHeight="1" x14ac:dyDescent="0.3">
      <c r="U110" s="170" t="s">
        <v>203</v>
      </c>
      <c r="V110" s="176">
        <v>15646</v>
      </c>
      <c r="W110" s="176">
        <v>17665</v>
      </c>
      <c r="X110" s="176">
        <v>18284</v>
      </c>
      <c r="Y110" s="176">
        <v>20438</v>
      </c>
      <c r="Z110" s="177">
        <v>28518</v>
      </c>
    </row>
    <row r="111" spans="1:29" ht="14.4" customHeight="1" x14ac:dyDescent="0.3">
      <c r="U111" s="170" t="s">
        <v>3</v>
      </c>
      <c r="V111" s="171"/>
      <c r="W111" s="171"/>
      <c r="X111" s="171"/>
      <c r="Y111" s="171"/>
      <c r="Z111" s="172"/>
    </row>
    <row r="112" spans="1:29" ht="14.4" customHeight="1" x14ac:dyDescent="0.3">
      <c r="U112" s="170" t="s">
        <v>204</v>
      </c>
      <c r="V112" s="176">
        <v>5213</v>
      </c>
      <c r="W112" s="176">
        <v>6329</v>
      </c>
      <c r="X112" s="176">
        <v>4896</v>
      </c>
      <c r="Y112" s="176">
        <v>6747</v>
      </c>
      <c r="Z112" s="177">
        <v>9392</v>
      </c>
    </row>
    <row r="113" spans="21:26" ht="14.4" customHeight="1" x14ac:dyDescent="0.3">
      <c r="U113" s="170" t="s">
        <v>205</v>
      </c>
      <c r="V113" s="176">
        <v>10433</v>
      </c>
      <c r="W113" s="176">
        <v>11336</v>
      </c>
      <c r="X113" s="176">
        <v>13388</v>
      </c>
      <c r="Y113" s="176">
        <v>13691</v>
      </c>
      <c r="Z113" s="177">
        <v>19126</v>
      </c>
    </row>
    <row r="114" spans="21:26" ht="14.4" customHeight="1" x14ac:dyDescent="0.3">
      <c r="U114" s="170" t="s">
        <v>206</v>
      </c>
      <c r="V114" s="176">
        <v>10433</v>
      </c>
      <c r="W114" s="176">
        <v>11336</v>
      </c>
      <c r="X114" s="176">
        <v>13388</v>
      </c>
      <c r="Y114" s="176">
        <v>13691</v>
      </c>
      <c r="Z114" s="177">
        <v>19126</v>
      </c>
    </row>
    <row r="115" spans="21:26" ht="14.4" customHeight="1" x14ac:dyDescent="0.3">
      <c r="U115" s="170" t="s">
        <v>207</v>
      </c>
      <c r="V115" s="176">
        <v>-1860</v>
      </c>
      <c r="W115" s="176">
        <v>-2206</v>
      </c>
      <c r="X115" s="176">
        <v>-2009</v>
      </c>
      <c r="Y115" s="176">
        <v>-1842</v>
      </c>
      <c r="Z115" s="177">
        <v>-507</v>
      </c>
    </row>
    <row r="116" spans="21:26" ht="14.4" customHeight="1" x14ac:dyDescent="0.3">
      <c r="U116" s="170" t="s">
        <v>208</v>
      </c>
      <c r="V116" s="176">
        <v>8573</v>
      </c>
      <c r="W116" s="176">
        <v>9130</v>
      </c>
      <c r="X116" s="176">
        <v>11379</v>
      </c>
      <c r="Y116" s="176">
        <v>11849</v>
      </c>
      <c r="Z116" s="177">
        <v>18619</v>
      </c>
    </row>
    <row r="117" spans="21:26" ht="14.4" customHeight="1" x14ac:dyDescent="0.3">
      <c r="U117" s="170" t="s">
        <v>209</v>
      </c>
      <c r="V117" s="176">
        <v>8573</v>
      </c>
      <c r="W117" s="176">
        <v>9130</v>
      </c>
      <c r="X117" s="176">
        <v>11379</v>
      </c>
      <c r="Y117" s="176">
        <v>11849</v>
      </c>
      <c r="Z117" s="177">
        <v>18619</v>
      </c>
    </row>
    <row r="118" spans="21:26" ht="14.4" customHeight="1" x14ac:dyDescent="0.3">
      <c r="U118" s="170" t="s">
        <v>210</v>
      </c>
      <c r="V118" s="176">
        <v>8573</v>
      </c>
      <c r="W118" s="176">
        <v>9130</v>
      </c>
      <c r="X118" s="176">
        <v>11379</v>
      </c>
      <c r="Y118" s="176">
        <v>11849</v>
      </c>
      <c r="Z118" s="177">
        <v>18619</v>
      </c>
    </row>
    <row r="119" spans="21:26" ht="14.4" customHeight="1" x14ac:dyDescent="0.3">
      <c r="U119" s="175" t="s">
        <v>211</v>
      </c>
      <c r="V119" s="171"/>
      <c r="W119" s="171"/>
      <c r="X119" s="171"/>
      <c r="Y119" s="171"/>
      <c r="Z119" s="172"/>
    </row>
    <row r="120" spans="21:26" ht="14.4" customHeight="1" x14ac:dyDescent="0.3">
      <c r="U120" s="170" t="s">
        <v>212</v>
      </c>
      <c r="V120" s="178">
        <v>136.97999999999999</v>
      </c>
      <c r="W120" s="178">
        <v>145.72999999999999</v>
      </c>
      <c r="X120" s="178">
        <v>181.28100000000001</v>
      </c>
      <c r="Y120" s="178">
        <v>188.47399999999999</v>
      </c>
      <c r="Z120" s="179">
        <v>295.81200000000001</v>
      </c>
    </row>
    <row r="121" spans="21:26" ht="14.4" customHeight="1" x14ac:dyDescent="0.3">
      <c r="U121" s="170" t="s">
        <v>213</v>
      </c>
      <c r="V121" s="178">
        <v>136.97999999999999</v>
      </c>
      <c r="W121" s="178">
        <v>145.72999999999999</v>
      </c>
      <c r="X121" s="178">
        <v>181.28100000000001</v>
      </c>
      <c r="Y121" s="178">
        <v>188.47399999999999</v>
      </c>
      <c r="Z121" s="179">
        <v>295.81200000000001</v>
      </c>
    </row>
    <row r="122" spans="21:26" ht="14.4" customHeight="1" x14ac:dyDescent="0.3">
      <c r="U122" s="170" t="s">
        <v>214</v>
      </c>
      <c r="V122" s="176">
        <v>62586000</v>
      </c>
      <c r="W122" s="176">
        <v>62650000</v>
      </c>
      <c r="X122" s="176">
        <v>62770000</v>
      </c>
      <c r="Y122" s="176">
        <v>62868000</v>
      </c>
      <c r="Z122" s="177">
        <v>62942063</v>
      </c>
    </row>
    <row r="123" spans="21:26" ht="14.4" customHeight="1" x14ac:dyDescent="0.3">
      <c r="U123" s="170" t="s">
        <v>215</v>
      </c>
      <c r="V123" s="178">
        <v>136.97999999999999</v>
      </c>
      <c r="W123" s="178">
        <v>145.59</v>
      </c>
      <c r="X123" s="178">
        <v>181.07499999999999</v>
      </c>
      <c r="Y123" s="178">
        <v>188.11</v>
      </c>
      <c r="Z123" s="179">
        <v>287.92099999999999</v>
      </c>
    </row>
    <row r="124" spans="21:26" ht="14.4" customHeight="1" x14ac:dyDescent="0.3">
      <c r="U124" s="170" t="s">
        <v>216</v>
      </c>
      <c r="V124" s="178">
        <v>136.97999999999999</v>
      </c>
      <c r="W124" s="178">
        <v>145.59</v>
      </c>
      <c r="X124" s="178">
        <v>181.07499999999999</v>
      </c>
      <c r="Y124" s="178">
        <v>188.11</v>
      </c>
      <c r="Z124" s="179">
        <v>287.92099999999999</v>
      </c>
    </row>
    <row r="125" spans="21:26" ht="14.4" customHeight="1" x14ac:dyDescent="0.3">
      <c r="U125" s="170" t="s">
        <v>217</v>
      </c>
      <c r="V125" s="176">
        <v>62586000</v>
      </c>
      <c r="W125" s="176">
        <v>62710934</v>
      </c>
      <c r="X125" s="176">
        <v>62842544</v>
      </c>
      <c r="Y125" s="176">
        <v>67319000</v>
      </c>
      <c r="Z125" s="177">
        <v>67496038</v>
      </c>
    </row>
    <row r="126" spans="21:26" ht="14.4" customHeight="1" x14ac:dyDescent="0.3">
      <c r="U126" s="170" t="s">
        <v>218</v>
      </c>
      <c r="V126" s="178">
        <v>134.07599999999999</v>
      </c>
      <c r="W126" s="178">
        <v>145.81399999999999</v>
      </c>
      <c r="X126" s="178">
        <v>161.19</v>
      </c>
      <c r="Y126" s="178">
        <v>167.005</v>
      </c>
      <c r="Z126" s="179">
        <v>194.85</v>
      </c>
    </row>
    <row r="127" spans="21:26" ht="14.4" customHeight="1" x14ac:dyDescent="0.3">
      <c r="U127" s="170" t="s">
        <v>219</v>
      </c>
      <c r="V127" s="178">
        <v>134.07599999999999</v>
      </c>
      <c r="W127" s="178">
        <v>145.672</v>
      </c>
      <c r="X127" s="178">
        <v>161.00399999999999</v>
      </c>
      <c r="Y127" s="178">
        <v>155.96299999999999</v>
      </c>
      <c r="Z127" s="179">
        <v>181.703</v>
      </c>
    </row>
    <row r="128" spans="21:26" ht="14.4" customHeight="1" x14ac:dyDescent="0.3">
      <c r="U128" s="170" t="s">
        <v>220</v>
      </c>
      <c r="V128" s="178">
        <v>23</v>
      </c>
      <c r="W128" s="178">
        <v>26</v>
      </c>
      <c r="X128" s="178">
        <v>63.5</v>
      </c>
      <c r="Y128" s="178">
        <v>68.5</v>
      </c>
      <c r="Z128" s="179">
        <v>76.5</v>
      </c>
    </row>
    <row r="129" spans="21:26" ht="14.4" customHeight="1" x14ac:dyDescent="0.3">
      <c r="U129" s="170" t="s">
        <v>221</v>
      </c>
      <c r="V129" s="178">
        <v>18.231999999999999</v>
      </c>
      <c r="W129" s="178">
        <v>16.812999999999999</v>
      </c>
      <c r="X129" s="178">
        <v>22.041</v>
      </c>
      <c r="Y129" s="178">
        <v>37.362000000000002</v>
      </c>
      <c r="Z129" s="179">
        <v>25.85</v>
      </c>
    </row>
    <row r="130" spans="21:26" ht="14.4" customHeight="1" x14ac:dyDescent="0.3">
      <c r="U130" s="175" t="s">
        <v>222</v>
      </c>
      <c r="V130" s="171"/>
      <c r="W130" s="171"/>
      <c r="X130" s="171"/>
      <c r="Y130" s="171"/>
      <c r="Z130" s="172"/>
    </row>
    <row r="131" spans="21:26" ht="14.4" customHeight="1" x14ac:dyDescent="0.3">
      <c r="U131" s="170" t="s">
        <v>18</v>
      </c>
      <c r="V131" s="176">
        <v>21975</v>
      </c>
      <c r="W131" s="176">
        <v>22504</v>
      </c>
      <c r="X131" s="176">
        <v>22500</v>
      </c>
      <c r="Y131" s="176">
        <v>24868</v>
      </c>
      <c r="Z131" s="177">
        <v>26800</v>
      </c>
    </row>
    <row r="132" spans="21:26" ht="14.4" customHeight="1" x14ac:dyDescent="0.3">
      <c r="U132" s="170" t="s">
        <v>223</v>
      </c>
      <c r="V132" s="176">
        <v>16032</v>
      </c>
      <c r="W132" s="176">
        <v>17023</v>
      </c>
      <c r="X132" s="176">
        <v>18428</v>
      </c>
      <c r="Y132" s="176">
        <v>20747</v>
      </c>
      <c r="Z132" s="177">
        <v>22065</v>
      </c>
    </row>
    <row r="133" spans="21:26" ht="14.4" customHeight="1" x14ac:dyDescent="0.3">
      <c r="U133" s="170" t="s">
        <v>224</v>
      </c>
      <c r="V133" s="176">
        <v>15973</v>
      </c>
      <c r="W133" s="176">
        <v>16964</v>
      </c>
      <c r="X133" s="176">
        <v>18367</v>
      </c>
      <c r="Y133" s="176">
        <v>20684</v>
      </c>
      <c r="Z133" s="177">
        <v>22002</v>
      </c>
    </row>
    <row r="134" spans="21:26" ht="14.4" customHeight="1" x14ac:dyDescent="0.3">
      <c r="U134" s="170" t="s">
        <v>225</v>
      </c>
      <c r="V134" s="176">
        <v>23187</v>
      </c>
      <c r="W134" s="176">
        <v>23528</v>
      </c>
      <c r="X134" s="176">
        <v>23584</v>
      </c>
      <c r="Y134" s="176">
        <v>25849</v>
      </c>
      <c r="Z134" s="180"/>
    </row>
    <row r="135" spans="21:26" ht="14.4" customHeight="1" x14ac:dyDescent="0.3">
      <c r="U135" s="170" t="s">
        <v>226</v>
      </c>
      <c r="V135" s="178">
        <v>33.317999999999998</v>
      </c>
      <c r="W135" s="178">
        <v>35.828000000000003</v>
      </c>
      <c r="X135" s="178">
        <v>26.777999999999999</v>
      </c>
      <c r="Y135" s="178">
        <v>33.012</v>
      </c>
      <c r="Z135" s="179">
        <v>32.933999999999997</v>
      </c>
    </row>
    <row r="136" spans="21:26" ht="14.4" customHeight="1" x14ac:dyDescent="0.3">
      <c r="U136" s="170" t="s">
        <v>227</v>
      </c>
      <c r="V136" s="176">
        <v>8391.25</v>
      </c>
      <c r="W136" s="176">
        <v>9135.25</v>
      </c>
      <c r="X136" s="176">
        <v>10117.875</v>
      </c>
      <c r="Y136" s="176">
        <v>10499.25</v>
      </c>
      <c r="Z136" s="177">
        <v>12264.25</v>
      </c>
    </row>
    <row r="137" spans="21:26" ht="14.4" customHeight="1" x14ac:dyDescent="0.3">
      <c r="U137" s="170" t="s">
        <v>228</v>
      </c>
      <c r="V137" s="176">
        <v>-97</v>
      </c>
      <c r="W137" s="176">
        <v>-175</v>
      </c>
      <c r="X137" s="176">
        <v>-195</v>
      </c>
      <c r="Y137" s="176">
        <v>-105</v>
      </c>
      <c r="Z137" s="172"/>
    </row>
    <row r="138" spans="21:26" ht="14.4" customHeight="1" x14ac:dyDescent="0.3">
      <c r="U138" s="175" t="s">
        <v>229</v>
      </c>
      <c r="V138" s="171"/>
      <c r="W138" s="171"/>
      <c r="X138" s="171"/>
      <c r="Y138" s="171"/>
      <c r="Z138" s="180"/>
    </row>
    <row r="139" spans="21:26" ht="14.4" customHeight="1" x14ac:dyDescent="0.3">
      <c r="U139" s="170" t="s">
        <v>230</v>
      </c>
      <c r="V139" s="176">
        <v>237</v>
      </c>
      <c r="W139" s="176">
        <v>282</v>
      </c>
      <c r="X139" s="176">
        <v>353</v>
      </c>
      <c r="Y139" s="176">
        <v>413</v>
      </c>
      <c r="Z139" s="177"/>
    </row>
    <row r="140" spans="21:26" ht="14.4" customHeight="1" x14ac:dyDescent="0.3">
      <c r="U140" s="170" t="s">
        <v>231</v>
      </c>
      <c r="V140" s="176">
        <v>237</v>
      </c>
      <c r="W140" s="176">
        <v>282</v>
      </c>
      <c r="X140" s="176">
        <v>353</v>
      </c>
      <c r="Y140" s="176">
        <v>413</v>
      </c>
      <c r="Z140" s="177"/>
    </row>
    <row r="141" spans="21:26" ht="14.4" customHeight="1" x14ac:dyDescent="0.3">
      <c r="U141" s="170" t="s">
        <v>232</v>
      </c>
      <c r="V141" s="176">
        <v>901</v>
      </c>
      <c r="W141" s="176">
        <v>886</v>
      </c>
      <c r="X141" s="176">
        <v>937</v>
      </c>
      <c r="Y141" s="176">
        <v>967</v>
      </c>
      <c r="Z141" s="177"/>
    </row>
    <row r="142" spans="21:26" ht="14.4" customHeight="1" x14ac:dyDescent="0.3">
      <c r="U142" s="170" t="s">
        <v>233</v>
      </c>
      <c r="V142" s="176">
        <v>632</v>
      </c>
      <c r="W142" s="176">
        <v>633</v>
      </c>
      <c r="X142" s="176">
        <v>580</v>
      </c>
      <c r="Y142" s="176">
        <v>924</v>
      </c>
      <c r="Z142" s="172"/>
    </row>
    <row r="143" spans="21:26" ht="14.4" customHeight="1" x14ac:dyDescent="0.3">
      <c r="U143" s="170" t="s">
        <v>234</v>
      </c>
      <c r="V143" s="176">
        <v>1212</v>
      </c>
      <c r="W143" s="176">
        <v>1024</v>
      </c>
      <c r="X143" s="176">
        <v>1084</v>
      </c>
      <c r="Y143" s="176">
        <v>981</v>
      </c>
      <c r="Z143" s="172"/>
    </row>
    <row r="144" spans="21:26" ht="14.4" customHeight="1" x14ac:dyDescent="0.3">
      <c r="U144" s="170" t="s">
        <v>235</v>
      </c>
      <c r="V144" s="176">
        <v>16.928999999999998</v>
      </c>
      <c r="W144" s="176">
        <v>12.927</v>
      </c>
      <c r="X144" s="176">
        <v>15.315</v>
      </c>
      <c r="Y144" s="176">
        <v>8.1460000000000008</v>
      </c>
      <c r="Z144" s="172"/>
    </row>
    <row r="145" spans="21:26" ht="14.4" customHeight="1" x14ac:dyDescent="0.3">
      <c r="U145" s="170" t="s">
        <v>236</v>
      </c>
      <c r="V145" s="176">
        <v>1195.0709999999999</v>
      </c>
      <c r="W145" s="176">
        <v>1011.073</v>
      </c>
      <c r="X145" s="176">
        <v>1068.6849999999999</v>
      </c>
      <c r="Y145" s="176">
        <v>972.85400000000004</v>
      </c>
      <c r="Z145" s="177"/>
    </row>
    <row r="146" spans="21:26" ht="14.4" customHeight="1" x14ac:dyDescent="0.3">
      <c r="U146" s="170" t="s">
        <v>237</v>
      </c>
      <c r="V146" s="171" t="s">
        <v>238</v>
      </c>
      <c r="W146" s="171" t="s">
        <v>238</v>
      </c>
      <c r="X146" s="171" t="s">
        <v>238</v>
      </c>
      <c r="Y146" s="171" t="s">
        <v>238</v>
      </c>
      <c r="Z146" s="180"/>
    </row>
    <row r="147" spans="21:26" ht="14.4" customHeight="1" x14ac:dyDescent="0.3">
      <c r="U147" s="170" t="s">
        <v>239</v>
      </c>
      <c r="V147" s="171" t="s">
        <v>240</v>
      </c>
      <c r="W147" s="171" t="s">
        <v>240</v>
      </c>
      <c r="X147" s="171" t="s">
        <v>240</v>
      </c>
      <c r="Y147" s="171" t="s">
        <v>240</v>
      </c>
      <c r="Z147" s="180"/>
    </row>
    <row r="148" spans="21:26" ht="14.4" customHeight="1" x14ac:dyDescent="0.3">
      <c r="U148" s="175" t="s">
        <v>241</v>
      </c>
      <c r="V148" s="171"/>
      <c r="W148" s="171"/>
      <c r="X148" s="171"/>
      <c r="Y148" s="171"/>
      <c r="Z148" s="180"/>
    </row>
    <row r="149" spans="21:26" ht="14.4" customHeight="1" x14ac:dyDescent="0.3">
      <c r="U149" s="170" t="s">
        <v>242</v>
      </c>
      <c r="V149" s="176">
        <v>360000</v>
      </c>
      <c r="W149" s="176">
        <v>360000</v>
      </c>
      <c r="X149" s="176">
        <v>240400</v>
      </c>
      <c r="Y149" s="176">
        <v>425200</v>
      </c>
      <c r="Z149" s="180"/>
    </row>
    <row r="150" spans="21:26" ht="14.4" customHeight="1" x14ac:dyDescent="0.3">
      <c r="U150" s="170" t="s">
        <v>243</v>
      </c>
      <c r="V150" s="171" t="s">
        <v>244</v>
      </c>
      <c r="W150" s="171" t="s">
        <v>244</v>
      </c>
      <c r="X150" s="176">
        <v>274000</v>
      </c>
      <c r="Y150" s="176">
        <v>262000</v>
      </c>
      <c r="Z150" s="180"/>
    </row>
    <row r="151" spans="21:26" ht="14.4" customHeight="1" x14ac:dyDescent="0.3">
      <c r="U151" s="170" t="s">
        <v>245</v>
      </c>
      <c r="V151" s="171" t="s">
        <v>244</v>
      </c>
      <c r="W151" s="176">
        <v>119600</v>
      </c>
      <c r="X151" s="176">
        <v>89200</v>
      </c>
      <c r="Y151" s="176">
        <v>78200</v>
      </c>
      <c r="Z151" s="180"/>
    </row>
    <row r="152" spans="21:26" ht="14.4" customHeight="1" x14ac:dyDescent="0.3">
      <c r="U152" s="170" t="s">
        <v>246</v>
      </c>
      <c r="V152" s="176">
        <v>360000</v>
      </c>
      <c r="W152" s="176">
        <v>240400</v>
      </c>
      <c r="X152" s="176">
        <v>425200</v>
      </c>
      <c r="Y152" s="176">
        <v>609000</v>
      </c>
      <c r="Z152" s="180"/>
    </row>
    <row r="153" spans="21:26" ht="14.4" customHeight="1" x14ac:dyDescent="0.3">
      <c r="U153" s="170" t="s">
        <v>247</v>
      </c>
      <c r="V153" s="178">
        <v>2242.5</v>
      </c>
      <c r="W153" s="178">
        <v>2242.5</v>
      </c>
      <c r="X153" s="178">
        <v>3030.2820000000002</v>
      </c>
      <c r="Y153" s="178">
        <v>3614.0770000000002</v>
      </c>
      <c r="Z153" s="180"/>
    </row>
    <row r="154" spans="21:26" ht="14.4" customHeight="1" x14ac:dyDescent="0.3">
      <c r="U154" s="170" t="s">
        <v>248</v>
      </c>
      <c r="V154" s="171" t="s">
        <v>244</v>
      </c>
      <c r="W154" s="171" t="s">
        <v>244</v>
      </c>
      <c r="X154" s="178">
        <v>3465</v>
      </c>
      <c r="Y154" s="178">
        <v>4152</v>
      </c>
      <c r="Z154" s="180"/>
    </row>
    <row r="155" spans="21:26" ht="14.4" customHeight="1" x14ac:dyDescent="0.3">
      <c r="U155" s="175" t="s">
        <v>249</v>
      </c>
      <c r="V155" s="171"/>
      <c r="W155" s="171"/>
      <c r="X155" s="171"/>
      <c r="Y155" s="171"/>
      <c r="Z155" s="180"/>
    </row>
    <row r="156" spans="21:26" ht="14.4" customHeight="1" x14ac:dyDescent="0.3">
      <c r="U156" s="170" t="s">
        <v>250</v>
      </c>
      <c r="V156" s="176">
        <v>360000</v>
      </c>
      <c r="W156" s="176">
        <v>360000</v>
      </c>
      <c r="X156" s="176">
        <v>240400</v>
      </c>
      <c r="Y156" s="176">
        <v>425200</v>
      </c>
      <c r="Z156" s="180"/>
    </row>
    <row r="157" spans="21:26" ht="14.4" customHeight="1" x14ac:dyDescent="0.3">
      <c r="U157" s="170" t="s">
        <v>251</v>
      </c>
      <c r="V157" s="171" t="s">
        <v>244</v>
      </c>
      <c r="W157" s="171" t="s">
        <v>244</v>
      </c>
      <c r="X157" s="176">
        <v>274000</v>
      </c>
      <c r="Y157" s="176">
        <v>262000</v>
      </c>
      <c r="Z157" s="180"/>
    </row>
    <row r="158" spans="21:26" ht="14.4" customHeight="1" x14ac:dyDescent="0.3">
      <c r="U158" s="170" t="s">
        <v>252</v>
      </c>
      <c r="V158" s="171" t="s">
        <v>244</v>
      </c>
      <c r="W158" s="176">
        <v>119600</v>
      </c>
      <c r="X158" s="176">
        <v>89200</v>
      </c>
      <c r="Y158" s="176">
        <v>78200</v>
      </c>
      <c r="Z158" s="180"/>
    </row>
    <row r="159" spans="21:26" ht="14.4" customHeight="1" x14ac:dyDescent="0.3">
      <c r="U159" s="170" t="s">
        <v>253</v>
      </c>
      <c r="V159" s="176">
        <v>360000</v>
      </c>
      <c r="W159" s="176">
        <v>240400</v>
      </c>
      <c r="X159" s="176">
        <v>425200</v>
      </c>
      <c r="Y159" s="176">
        <v>609000</v>
      </c>
      <c r="Z159" s="180"/>
    </row>
    <row r="160" spans="21:26" ht="14.4" customHeight="1" x14ac:dyDescent="0.3">
      <c r="U160" s="175" t="s">
        <v>254</v>
      </c>
      <c r="V160" s="171"/>
      <c r="W160" s="171"/>
      <c r="X160" s="171"/>
      <c r="Y160" s="171"/>
      <c r="Z160" s="180"/>
    </row>
    <row r="161" spans="21:32" ht="14.4" customHeight="1" x14ac:dyDescent="0.3">
      <c r="U161" s="170" t="s">
        <v>255</v>
      </c>
      <c r="V161" s="176">
        <v>331</v>
      </c>
      <c r="W161" s="176">
        <v>113</v>
      </c>
      <c r="X161" s="176">
        <v>80</v>
      </c>
      <c r="Y161" s="176">
        <v>176</v>
      </c>
      <c r="Z161" s="180"/>
    </row>
    <row r="163" spans="21:32" ht="15" thickBot="1" x14ac:dyDescent="0.35"/>
    <row r="164" spans="21:32" x14ac:dyDescent="0.3">
      <c r="U164" s="49" t="s">
        <v>160</v>
      </c>
      <c r="V164" s="48" t="s">
        <v>161</v>
      </c>
      <c r="W164" s="48" t="s">
        <v>162</v>
      </c>
      <c r="X164" s="48" t="s">
        <v>163</v>
      </c>
      <c r="Y164" s="48" t="s">
        <v>164</v>
      </c>
      <c r="Z164" s="166" t="s">
        <v>165</v>
      </c>
    </row>
    <row r="165" spans="21:32" ht="28.8" x14ac:dyDescent="0.3">
      <c r="U165" s="170" t="s">
        <v>3</v>
      </c>
      <c r="V165" s="171" t="s">
        <v>166</v>
      </c>
      <c r="W165" s="171" t="s">
        <v>166</v>
      </c>
      <c r="X165" s="171" t="s">
        <v>166</v>
      </c>
      <c r="Y165" s="171" t="s">
        <v>166</v>
      </c>
      <c r="Z165" s="172" t="s">
        <v>166</v>
      </c>
    </row>
    <row r="166" spans="21:32" x14ac:dyDescent="0.3">
      <c r="U166" s="170" t="s">
        <v>167</v>
      </c>
      <c r="V166" s="173">
        <v>44196</v>
      </c>
      <c r="W166" s="173">
        <v>44561</v>
      </c>
      <c r="X166" s="173">
        <v>44926</v>
      </c>
      <c r="Y166" s="173">
        <v>45291</v>
      </c>
      <c r="Z166" s="174">
        <v>45565</v>
      </c>
    </row>
    <row r="167" spans="21:32" x14ac:dyDescent="0.3">
      <c r="U167" s="170" t="s">
        <v>168</v>
      </c>
      <c r="V167" s="173">
        <v>44270</v>
      </c>
      <c r="W167" s="173">
        <v>44634</v>
      </c>
      <c r="X167" s="173">
        <v>45005</v>
      </c>
      <c r="Y167" s="173">
        <v>45378</v>
      </c>
      <c r="Z167" s="174">
        <v>45603</v>
      </c>
    </row>
    <row r="168" spans="21:32" x14ac:dyDescent="0.3">
      <c r="U168" s="170" t="s">
        <v>171</v>
      </c>
      <c r="V168" s="171" t="s">
        <v>172</v>
      </c>
      <c r="W168" s="171" t="s">
        <v>172</v>
      </c>
      <c r="X168" s="171" t="s">
        <v>172</v>
      </c>
      <c r="Y168" s="171" t="s">
        <v>172</v>
      </c>
      <c r="Z168" s="172" t="s">
        <v>172</v>
      </c>
    </row>
    <row r="169" spans="21:32" x14ac:dyDescent="0.3">
      <c r="U169" s="170" t="s">
        <v>3</v>
      </c>
      <c r="V169" s="171"/>
      <c r="W169" s="171"/>
      <c r="X169" s="171"/>
      <c r="Y169" s="171"/>
      <c r="Z169" s="172"/>
    </row>
    <row r="170" spans="21:32" x14ac:dyDescent="0.3">
      <c r="U170" s="175" t="s">
        <v>256</v>
      </c>
      <c r="V170" s="171"/>
      <c r="W170" s="171"/>
      <c r="X170" s="171"/>
      <c r="Y170" s="171"/>
      <c r="Z170" s="172"/>
    </row>
    <row r="171" spans="21:32" x14ac:dyDescent="0.3">
      <c r="U171" s="170" t="s">
        <v>257</v>
      </c>
      <c r="V171" s="176">
        <v>15647</v>
      </c>
      <c r="W171" s="176">
        <v>17666</v>
      </c>
      <c r="X171" s="176">
        <v>18284</v>
      </c>
      <c r="Y171" s="176">
        <v>20439</v>
      </c>
      <c r="Z171" s="177">
        <v>28520</v>
      </c>
      <c r="AB171" s="66">
        <v>2020</v>
      </c>
      <c r="AC171" s="66">
        <f>AB171+1</f>
        <v>2021</v>
      </c>
      <c r="AD171" s="66">
        <f t="shared" ref="AD171:AF171" si="84">AC171+1</f>
        <v>2022</v>
      </c>
      <c r="AE171" s="66">
        <f t="shared" si="84"/>
        <v>2023</v>
      </c>
      <c r="AF171" s="66">
        <f t="shared" si="84"/>
        <v>2024</v>
      </c>
    </row>
    <row r="172" spans="21:32" x14ac:dyDescent="0.3">
      <c r="U172" s="170" t="s">
        <v>184</v>
      </c>
      <c r="V172" s="176">
        <v>5943</v>
      </c>
      <c r="W172" s="176">
        <v>5481</v>
      </c>
      <c r="X172" s="176">
        <v>4072</v>
      </c>
      <c r="Y172" s="176">
        <v>4121</v>
      </c>
      <c r="Z172" s="177">
        <v>4735</v>
      </c>
      <c r="AA172" s="167" t="s">
        <v>258</v>
      </c>
      <c r="AB172" s="165">
        <f>-(V185)/V86</f>
        <v>2.5805862554108064E-2</v>
      </c>
      <c r="AC172" s="165">
        <f t="shared" ref="AC172:AF172" si="85">-(W185)/W86</f>
        <v>1.3691831044898814E-2</v>
      </c>
      <c r="AD172" s="165">
        <f t="shared" si="85"/>
        <v>3.326601693790511E-2</v>
      </c>
      <c r="AE172" s="165">
        <f t="shared" si="85"/>
        <v>2.8850111257967912E-2</v>
      </c>
      <c r="AF172" s="165">
        <f t="shared" si="85"/>
        <v>3.7666328109730897E-2</v>
      </c>
    </row>
    <row r="173" spans="21:32" x14ac:dyDescent="0.3">
      <c r="U173" s="170" t="s">
        <v>186</v>
      </c>
      <c r="V173" s="176">
        <v>59</v>
      </c>
      <c r="W173" s="176">
        <v>59</v>
      </c>
      <c r="X173" s="176">
        <v>61</v>
      </c>
      <c r="Y173" s="176">
        <v>63</v>
      </c>
      <c r="Z173" s="177">
        <v>63</v>
      </c>
      <c r="AA173" s="167" t="s">
        <v>259</v>
      </c>
      <c r="AB173" s="165">
        <f>SUM(V172:V173)/V86</f>
        <v>2.4909422169468735E-2</v>
      </c>
      <c r="AC173" s="165">
        <f t="shared" ref="AC173:AF173" si="86">SUM(W172:W173)/W86</f>
        <v>2.1481943922044586E-2</v>
      </c>
      <c r="AD173" s="165">
        <f t="shared" si="86"/>
        <v>1.4825150744485855E-2</v>
      </c>
      <c r="AE173" s="165">
        <f t="shared" si="86"/>
        <v>1.4000100383128941E-2</v>
      </c>
      <c r="AF173" s="165">
        <f t="shared" si="86"/>
        <v>1.5372834490514532E-2</v>
      </c>
    </row>
    <row r="174" spans="21:32" x14ac:dyDescent="0.3">
      <c r="U174" s="170" t="s">
        <v>260</v>
      </c>
      <c r="V174" s="176">
        <v>6002</v>
      </c>
      <c r="W174" s="176">
        <v>5540</v>
      </c>
      <c r="X174" s="176">
        <v>4133</v>
      </c>
      <c r="Y174" s="176">
        <v>4184</v>
      </c>
      <c r="Z174" s="177">
        <v>4798</v>
      </c>
      <c r="AA174" s="165" t="s">
        <v>261</v>
      </c>
      <c r="AB174" s="165">
        <f>-V189/V86</f>
        <v>1.6447190945952116E-2</v>
      </c>
      <c r="AC174" s="165">
        <f t="shared" ref="AC174:AF174" si="87">-W189/W86</f>
        <v>1.2423853488489322E-2</v>
      </c>
      <c r="AD174" s="165">
        <f t="shared" si="87"/>
        <v>1.0796928076676125E-2</v>
      </c>
      <c r="AE174" s="165">
        <f t="shared" si="87"/>
        <v>8.3585685365812849E-3</v>
      </c>
      <c r="AF174" s="165">
        <f t="shared" si="87"/>
        <v>9.8395111964089468E-3</v>
      </c>
    </row>
    <row r="175" spans="21:32" x14ac:dyDescent="0.3">
      <c r="U175" s="170" t="s">
        <v>262</v>
      </c>
      <c r="V175" s="176">
        <v>81</v>
      </c>
      <c r="W175" s="176">
        <v>634</v>
      </c>
      <c r="X175" s="176">
        <v>620</v>
      </c>
      <c r="Y175" s="176">
        <v>-345</v>
      </c>
      <c r="Z175" s="177">
        <v>-8400</v>
      </c>
    </row>
    <row r="176" spans="21:32" x14ac:dyDescent="0.3">
      <c r="U176" s="170" t="s">
        <v>263</v>
      </c>
      <c r="V176" s="176">
        <v>-36</v>
      </c>
      <c r="W176" s="176">
        <v>-527</v>
      </c>
      <c r="X176" s="171" t="s">
        <v>244</v>
      </c>
      <c r="Y176" s="176">
        <v>-489</v>
      </c>
      <c r="Z176" s="177">
        <v>-473</v>
      </c>
      <c r="AC176" s="168">
        <v>1.4686467436821737E-2</v>
      </c>
    </row>
    <row r="177" spans="21:26" x14ac:dyDescent="0.3">
      <c r="U177" s="170" t="s">
        <v>264</v>
      </c>
      <c r="V177" s="176">
        <v>-292</v>
      </c>
      <c r="W177" s="176">
        <v>-176</v>
      </c>
      <c r="X177" s="176">
        <v>-35</v>
      </c>
      <c r="Y177" s="176">
        <v>126</v>
      </c>
      <c r="Z177" s="177">
        <v>-58</v>
      </c>
    </row>
    <row r="178" spans="21:26" x14ac:dyDescent="0.3">
      <c r="U178" s="170" t="s">
        <v>265</v>
      </c>
      <c r="V178" s="176">
        <v>-4794</v>
      </c>
      <c r="W178" s="176">
        <v>-4888</v>
      </c>
      <c r="X178" s="176">
        <v>-7328</v>
      </c>
      <c r="Y178" s="176">
        <v>-5335</v>
      </c>
      <c r="Z178" s="177">
        <v>-9841</v>
      </c>
    </row>
    <row r="179" spans="21:26" x14ac:dyDescent="0.3">
      <c r="U179" s="170" t="s">
        <v>266</v>
      </c>
      <c r="V179" s="176">
        <v>-452</v>
      </c>
      <c r="W179" s="176">
        <v>-5251</v>
      </c>
      <c r="X179" s="176">
        <v>264</v>
      </c>
      <c r="Y179" s="176">
        <v>-5640</v>
      </c>
      <c r="Z179" s="177">
        <v>-3056</v>
      </c>
    </row>
    <row r="180" spans="21:26" x14ac:dyDescent="0.3">
      <c r="U180" s="170" t="s">
        <v>267</v>
      </c>
      <c r="V180" s="176">
        <v>364</v>
      </c>
      <c r="W180" s="176">
        <v>1002</v>
      </c>
      <c r="X180" s="176">
        <v>-1096</v>
      </c>
      <c r="Y180" s="176">
        <v>-365</v>
      </c>
      <c r="Z180" s="177">
        <v>1155</v>
      </c>
    </row>
    <row r="181" spans="21:26" x14ac:dyDescent="0.3">
      <c r="U181" s="170" t="s">
        <v>268</v>
      </c>
      <c r="V181" s="176">
        <v>65</v>
      </c>
      <c r="W181" s="176">
        <v>2712</v>
      </c>
      <c r="X181" s="176">
        <v>1997</v>
      </c>
      <c r="Y181" s="176">
        <v>5911</v>
      </c>
      <c r="Z181" s="177">
        <v>-1044</v>
      </c>
    </row>
    <row r="182" spans="21:26" x14ac:dyDescent="0.3">
      <c r="U182" s="170" t="s">
        <v>269</v>
      </c>
      <c r="V182" s="176">
        <v>-1798</v>
      </c>
      <c r="W182" s="176">
        <v>-805</v>
      </c>
      <c r="X182" s="176">
        <v>-3320</v>
      </c>
      <c r="Y182" s="176">
        <v>-2335</v>
      </c>
      <c r="Z182" s="177">
        <v>2966</v>
      </c>
    </row>
    <row r="183" spans="21:26" x14ac:dyDescent="0.3">
      <c r="U183" s="170" t="s">
        <v>270</v>
      </c>
      <c r="V183" s="176">
        <v>14787</v>
      </c>
      <c r="W183" s="176">
        <v>15907</v>
      </c>
      <c r="X183" s="176">
        <v>13519</v>
      </c>
      <c r="Y183" s="176">
        <v>16151</v>
      </c>
      <c r="Z183" s="177">
        <v>14567</v>
      </c>
    </row>
    <row r="184" spans="21:26" x14ac:dyDescent="0.3">
      <c r="U184" s="175" t="s">
        <v>271</v>
      </c>
      <c r="V184" s="171"/>
      <c r="W184" s="171"/>
      <c r="X184" s="171"/>
      <c r="Y184" s="171"/>
      <c r="Z184" s="172"/>
    </row>
    <row r="185" spans="21:26" x14ac:dyDescent="0.3">
      <c r="U185" s="170" t="s">
        <v>272</v>
      </c>
      <c r="V185" s="176">
        <v>-6218</v>
      </c>
      <c r="W185" s="176">
        <v>-3531</v>
      </c>
      <c r="X185" s="176">
        <v>-9274</v>
      </c>
      <c r="Y185" s="176">
        <v>-8622</v>
      </c>
      <c r="Z185" s="177">
        <v>-11756</v>
      </c>
    </row>
    <row r="186" spans="21:26" x14ac:dyDescent="0.3">
      <c r="U186" s="170" t="s">
        <v>273</v>
      </c>
      <c r="V186" s="171" t="s">
        <v>244</v>
      </c>
      <c r="W186" s="171" t="s">
        <v>244</v>
      </c>
      <c r="X186" s="171" t="s">
        <v>244</v>
      </c>
      <c r="Y186" s="176">
        <v>967</v>
      </c>
      <c r="Z186" s="177">
        <v>13942</v>
      </c>
    </row>
    <row r="187" spans="21:26" x14ac:dyDescent="0.3">
      <c r="U187" s="170" t="s">
        <v>274</v>
      </c>
      <c r="V187" s="176">
        <v>-210</v>
      </c>
      <c r="W187" s="171" t="s">
        <v>244</v>
      </c>
      <c r="X187" s="176">
        <v>144</v>
      </c>
      <c r="Y187" s="171" t="s">
        <v>244</v>
      </c>
      <c r="Z187" s="180"/>
    </row>
    <row r="188" spans="21:26" x14ac:dyDescent="0.3">
      <c r="U188" s="170" t="s">
        <v>275</v>
      </c>
      <c r="V188" s="171" t="s">
        <v>244</v>
      </c>
      <c r="W188" s="176">
        <v>4330</v>
      </c>
      <c r="X188" s="171" t="s">
        <v>244</v>
      </c>
      <c r="Y188" s="171" t="s">
        <v>244</v>
      </c>
      <c r="Z188" s="177">
        <v>-10</v>
      </c>
    </row>
    <row r="189" spans="21:26" x14ac:dyDescent="0.3">
      <c r="U189" s="170" t="s">
        <v>276</v>
      </c>
      <c r="V189" s="176">
        <v>-3963</v>
      </c>
      <c r="W189" s="176">
        <v>-3204</v>
      </c>
      <c r="X189" s="176">
        <v>-3010</v>
      </c>
      <c r="Y189" s="176">
        <v>-2498</v>
      </c>
      <c r="Z189" s="177">
        <v>-3071</v>
      </c>
    </row>
    <row r="190" spans="21:26" x14ac:dyDescent="0.3">
      <c r="U190" s="170" t="s">
        <v>277</v>
      </c>
      <c r="V190" s="176">
        <v>-5592</v>
      </c>
      <c r="W190" s="176">
        <v>6843</v>
      </c>
      <c r="X190" s="176">
        <v>-3494</v>
      </c>
      <c r="Y190" s="176">
        <v>716</v>
      </c>
      <c r="Z190" s="177">
        <v>6304</v>
      </c>
    </row>
    <row r="191" spans="21:26" x14ac:dyDescent="0.3">
      <c r="U191" s="170" t="s">
        <v>278</v>
      </c>
      <c r="V191" s="176">
        <v>-126</v>
      </c>
      <c r="W191" s="176">
        <v>456</v>
      </c>
      <c r="X191" s="176">
        <v>112</v>
      </c>
      <c r="Y191" s="176">
        <v>228</v>
      </c>
      <c r="Z191" s="177">
        <v>-831</v>
      </c>
    </row>
    <row r="192" spans="21:26" x14ac:dyDescent="0.3">
      <c r="U192" s="170" t="s">
        <v>279</v>
      </c>
      <c r="V192" s="176">
        <v>-16109</v>
      </c>
      <c r="W192" s="176">
        <v>4894</v>
      </c>
      <c r="X192" s="176">
        <v>-15522</v>
      </c>
      <c r="Y192" s="176">
        <v>-9209</v>
      </c>
      <c r="Z192" s="177">
        <v>4578</v>
      </c>
    </row>
    <row r="193" spans="21:26" x14ac:dyDescent="0.3">
      <c r="U193" s="175" t="s">
        <v>280</v>
      </c>
      <c r="V193" s="171"/>
      <c r="W193" s="171"/>
      <c r="X193" s="171"/>
      <c r="Y193" s="171"/>
      <c r="Z193" s="164"/>
    </row>
    <row r="194" spans="21:26" x14ac:dyDescent="0.3">
      <c r="U194" s="170" t="s">
        <v>281</v>
      </c>
      <c r="V194" s="176">
        <v>23641</v>
      </c>
      <c r="W194" s="176">
        <v>6765</v>
      </c>
      <c r="X194" s="176">
        <v>13000</v>
      </c>
      <c r="Y194" s="176">
        <v>54359</v>
      </c>
    </row>
    <row r="195" spans="21:26" x14ac:dyDescent="0.3">
      <c r="U195" s="170" t="s">
        <v>282</v>
      </c>
      <c r="V195" s="176">
        <v>1428</v>
      </c>
      <c r="W195" s="176">
        <v>3580</v>
      </c>
      <c r="X195" s="176">
        <v>5000</v>
      </c>
      <c r="Y195" s="171" t="s">
        <v>244</v>
      </c>
    </row>
    <row r="196" spans="21:26" x14ac:dyDescent="0.3">
      <c r="U196" s="170" t="s">
        <v>283</v>
      </c>
      <c r="V196" s="176">
        <v>25069</v>
      </c>
      <c r="W196" s="176">
        <v>10345</v>
      </c>
      <c r="X196" s="176">
        <v>18000</v>
      </c>
      <c r="Y196" s="176">
        <v>54359</v>
      </c>
    </row>
    <row r="197" spans="21:26" x14ac:dyDescent="0.3">
      <c r="U197" s="170" t="s">
        <v>284</v>
      </c>
      <c r="V197" s="176">
        <v>-9109</v>
      </c>
      <c r="W197" s="176">
        <v>-22752</v>
      </c>
      <c r="X197" s="176">
        <v>-5599</v>
      </c>
      <c r="Y197" s="176">
        <v>-15259</v>
      </c>
    </row>
    <row r="198" spans="21:26" x14ac:dyDescent="0.3">
      <c r="U198" s="170" t="s">
        <v>285</v>
      </c>
      <c r="V198" s="176">
        <v>-1081</v>
      </c>
      <c r="W198" s="176">
        <v>-3444</v>
      </c>
      <c r="X198" s="176">
        <v>-14765</v>
      </c>
      <c r="Y198" s="176">
        <v>-5714</v>
      </c>
    </row>
    <row r="199" spans="21:26" x14ac:dyDescent="0.3">
      <c r="U199" s="170" t="s">
        <v>286</v>
      </c>
      <c r="V199" s="176">
        <v>-10190</v>
      </c>
      <c r="W199" s="176">
        <v>-26196</v>
      </c>
      <c r="X199" s="176">
        <v>-20364</v>
      </c>
      <c r="Y199" s="176">
        <v>-20973</v>
      </c>
    </row>
    <row r="200" spans="21:26" x14ac:dyDescent="0.3">
      <c r="U200" s="170" t="s">
        <v>287</v>
      </c>
      <c r="V200" s="171" t="s">
        <v>244</v>
      </c>
      <c r="W200" s="176">
        <v>-1</v>
      </c>
      <c r="X200" s="176">
        <v>-1</v>
      </c>
      <c r="Y200" s="176">
        <v>-4</v>
      </c>
    </row>
    <row r="201" spans="21:26" x14ac:dyDescent="0.3">
      <c r="U201" s="170" t="s">
        <v>288</v>
      </c>
      <c r="V201" s="176">
        <v>-1563</v>
      </c>
      <c r="W201" s="176">
        <v>-1535</v>
      </c>
      <c r="X201" s="176">
        <v>-2508</v>
      </c>
      <c r="Y201" s="176">
        <v>-4427</v>
      </c>
    </row>
    <row r="202" spans="21:26" x14ac:dyDescent="0.3">
      <c r="U202" s="170" t="s">
        <v>289</v>
      </c>
      <c r="V202" s="176">
        <v>-1563</v>
      </c>
      <c r="W202" s="176">
        <v>-1535</v>
      </c>
      <c r="X202" s="176">
        <v>-2508</v>
      </c>
      <c r="Y202" s="176">
        <v>-4427</v>
      </c>
    </row>
    <row r="203" spans="21:26" x14ac:dyDescent="0.3">
      <c r="U203" s="170" t="s">
        <v>290</v>
      </c>
      <c r="V203" s="176">
        <v>-613</v>
      </c>
      <c r="W203" s="176">
        <v>-484</v>
      </c>
      <c r="X203" s="176">
        <v>-1038</v>
      </c>
      <c r="Y203" s="176">
        <v>-34402</v>
      </c>
    </row>
    <row r="204" spans="21:26" x14ac:dyDescent="0.3">
      <c r="U204" s="170" t="s">
        <v>291</v>
      </c>
      <c r="V204" s="176">
        <v>12703</v>
      </c>
      <c r="W204" s="176">
        <v>-17871</v>
      </c>
      <c r="X204" s="176">
        <v>-5911</v>
      </c>
      <c r="Y204" s="176">
        <v>-5447</v>
      </c>
    </row>
    <row r="205" spans="21:26" x14ac:dyDescent="0.3">
      <c r="U205" s="175" t="s">
        <v>292</v>
      </c>
      <c r="V205" s="171"/>
      <c r="W205" s="171"/>
      <c r="X205" s="171"/>
      <c r="Y205" s="171"/>
    </row>
    <row r="206" spans="21:26" x14ac:dyDescent="0.3">
      <c r="U206" s="170" t="s">
        <v>293</v>
      </c>
      <c r="V206" s="176">
        <v>-89</v>
      </c>
      <c r="W206" s="176">
        <v>496</v>
      </c>
      <c r="X206" s="176">
        <v>123</v>
      </c>
      <c r="Y206" s="176">
        <v>204</v>
      </c>
    </row>
    <row r="207" spans="21:26" x14ac:dyDescent="0.3">
      <c r="U207" s="170" t="s">
        <v>294</v>
      </c>
      <c r="V207" s="176">
        <v>-1</v>
      </c>
      <c r="W207" s="176">
        <v>-1</v>
      </c>
      <c r="X207" s="176">
        <v>2</v>
      </c>
      <c r="Y207" s="176">
        <v>-1</v>
      </c>
    </row>
    <row r="208" spans="21:26" x14ac:dyDescent="0.3">
      <c r="U208" s="170" t="s">
        <v>295</v>
      </c>
      <c r="V208" s="176">
        <v>11291</v>
      </c>
      <c r="W208" s="176">
        <v>3425</v>
      </c>
      <c r="X208" s="176">
        <v>-7789</v>
      </c>
      <c r="Y208" s="176">
        <v>1698</v>
      </c>
    </row>
    <row r="209" spans="21:26" x14ac:dyDescent="0.3">
      <c r="U209" s="175" t="s">
        <v>222</v>
      </c>
      <c r="V209" s="171"/>
      <c r="W209" s="171"/>
      <c r="X209" s="171"/>
      <c r="Y209" s="171"/>
    </row>
    <row r="210" spans="21:26" x14ac:dyDescent="0.3">
      <c r="U210" s="170" t="s">
        <v>296</v>
      </c>
      <c r="V210" s="176">
        <v>67</v>
      </c>
      <c r="W210" s="176">
        <v>59</v>
      </c>
      <c r="X210" s="176">
        <v>49</v>
      </c>
      <c r="Y210" s="176">
        <v>54</v>
      </c>
    </row>
    <row r="211" spans="21:26" x14ac:dyDescent="0.3">
      <c r="U211" s="170" t="s">
        <v>297</v>
      </c>
      <c r="V211" s="176">
        <v>5386</v>
      </c>
      <c r="W211" s="176">
        <v>4987</v>
      </c>
      <c r="X211" s="176">
        <v>7527</v>
      </c>
      <c r="Y211" s="176">
        <v>4612</v>
      </c>
    </row>
    <row r="212" spans="21:26" x14ac:dyDescent="0.3">
      <c r="U212" s="170" t="s">
        <v>298</v>
      </c>
      <c r="V212" s="176">
        <v>7108.5</v>
      </c>
      <c r="W212" s="176">
        <v>8588.25</v>
      </c>
      <c r="X212" s="176">
        <v>3114.75</v>
      </c>
      <c r="Y212" s="176">
        <v>4874.375</v>
      </c>
    </row>
    <row r="213" spans="21:26" x14ac:dyDescent="0.3">
      <c r="U213" s="170" t="s">
        <v>299</v>
      </c>
      <c r="V213" s="176">
        <v>7149.125</v>
      </c>
      <c r="W213" s="176">
        <v>8624.5</v>
      </c>
      <c r="X213" s="176">
        <v>3145.375</v>
      </c>
      <c r="Y213" s="176">
        <v>4902.5</v>
      </c>
    </row>
    <row r="214" spans="21:26" x14ac:dyDescent="0.3">
      <c r="U214" s="170" t="s">
        <v>300</v>
      </c>
      <c r="V214" s="176">
        <v>-1345000</v>
      </c>
      <c r="W214" s="176">
        <v>783000</v>
      </c>
      <c r="X214" s="176">
        <v>183000</v>
      </c>
      <c r="Y214" s="176">
        <v>1089000</v>
      </c>
    </row>
    <row r="215" spans="21:26" x14ac:dyDescent="0.3">
      <c r="U215" s="170" t="s">
        <v>301</v>
      </c>
      <c r="V215" s="176">
        <v>14879</v>
      </c>
      <c r="W215" s="176">
        <v>-15851</v>
      </c>
      <c r="X215" s="176">
        <v>-2364</v>
      </c>
      <c r="Y215" s="176">
        <v>33386</v>
      </c>
    </row>
    <row r="216" spans="21:26" x14ac:dyDescent="0.3">
      <c r="U216" s="170" t="s">
        <v>237</v>
      </c>
      <c r="V216" s="171" t="s">
        <v>238</v>
      </c>
      <c r="W216" s="171" t="s">
        <v>238</v>
      </c>
      <c r="X216" s="171" t="s">
        <v>238</v>
      </c>
      <c r="Y216" s="171" t="s">
        <v>238</v>
      </c>
    </row>
    <row r="217" spans="21:26" x14ac:dyDescent="0.3">
      <c r="U217" s="170" t="s">
        <v>239</v>
      </c>
      <c r="V217" s="171" t="s">
        <v>240</v>
      </c>
      <c r="W217" s="171" t="s">
        <v>240</v>
      </c>
      <c r="X217" s="171" t="s">
        <v>240</v>
      </c>
      <c r="Y217" s="171" t="s">
        <v>240</v>
      </c>
    </row>
    <row r="222" spans="21:26" ht="15" thickBot="1" x14ac:dyDescent="0.35"/>
    <row r="223" spans="21:26" x14ac:dyDescent="0.3">
      <c r="U223" s="49" t="s">
        <v>160</v>
      </c>
      <c r="V223" s="48" t="s">
        <v>161</v>
      </c>
      <c r="W223" s="48" t="s">
        <v>162</v>
      </c>
      <c r="X223" s="48" t="s">
        <v>163</v>
      </c>
      <c r="Y223" s="48" t="s">
        <v>164</v>
      </c>
      <c r="Z223" s="48" t="s">
        <v>302</v>
      </c>
    </row>
    <row r="224" spans="21:26" ht="28.8" x14ac:dyDescent="0.3">
      <c r="U224" s="170" t="s">
        <v>3</v>
      </c>
      <c r="V224" s="171" t="s">
        <v>166</v>
      </c>
      <c r="W224" s="171" t="s">
        <v>166</v>
      </c>
      <c r="X224" s="171" t="s">
        <v>166</v>
      </c>
      <c r="Y224" s="171" t="s">
        <v>166</v>
      </c>
      <c r="Z224" s="172" t="s">
        <v>166</v>
      </c>
    </row>
    <row r="225" spans="21:41" x14ac:dyDescent="0.3">
      <c r="U225" s="170" t="s">
        <v>167</v>
      </c>
      <c r="V225" s="173">
        <v>44196</v>
      </c>
      <c r="W225" s="173">
        <v>44561</v>
      </c>
      <c r="X225" s="173">
        <v>44926</v>
      </c>
      <c r="Y225" s="173">
        <v>45291</v>
      </c>
      <c r="Z225" s="174">
        <v>45565</v>
      </c>
    </row>
    <row r="226" spans="21:41" x14ac:dyDescent="0.3">
      <c r="U226" s="170" t="s">
        <v>168</v>
      </c>
      <c r="V226" s="173">
        <v>44270</v>
      </c>
      <c r="W226" s="173">
        <v>44634</v>
      </c>
      <c r="X226" s="173">
        <v>45005</v>
      </c>
      <c r="Y226" s="173">
        <v>45378</v>
      </c>
      <c r="Z226" s="174">
        <v>45603</v>
      </c>
    </row>
    <row r="227" spans="21:41" x14ac:dyDescent="0.3">
      <c r="U227" s="170" t="s">
        <v>171</v>
      </c>
      <c r="V227" s="171" t="s">
        <v>172</v>
      </c>
      <c r="W227" s="171" t="s">
        <v>172</v>
      </c>
      <c r="X227" s="171" t="s">
        <v>172</v>
      </c>
      <c r="Y227" s="171" t="s">
        <v>172</v>
      </c>
      <c r="Z227" s="172" t="s">
        <v>172</v>
      </c>
    </row>
    <row r="228" spans="21:41" x14ac:dyDescent="0.3">
      <c r="U228" s="170" t="s">
        <v>3</v>
      </c>
      <c r="V228" s="171"/>
      <c r="W228" s="171"/>
      <c r="X228" s="171"/>
      <c r="Y228" s="171"/>
      <c r="Z228" s="172"/>
      <c r="AB228" s="138" t="s">
        <v>303</v>
      </c>
      <c r="AG228" s="66" t="s">
        <v>304</v>
      </c>
      <c r="AI228" s="31">
        <v>365</v>
      </c>
    </row>
    <row r="229" spans="21:41" x14ac:dyDescent="0.3">
      <c r="U229" s="175" t="s">
        <v>305</v>
      </c>
      <c r="V229" s="171"/>
      <c r="W229" s="171"/>
      <c r="X229" s="171"/>
      <c r="Y229" s="171"/>
      <c r="Z229" s="172"/>
      <c r="AG229" s="66">
        <v>2020</v>
      </c>
      <c r="AH229" s="66">
        <f>AG229+1</f>
        <v>2021</v>
      </c>
      <c r="AI229" s="66">
        <f t="shared" ref="AI229:AK229" si="88">AH229+1</f>
        <v>2022</v>
      </c>
      <c r="AJ229" s="66">
        <f t="shared" si="88"/>
        <v>2023</v>
      </c>
      <c r="AK229" s="66">
        <f t="shared" si="88"/>
        <v>2024</v>
      </c>
      <c r="AL229" s="66" t="s">
        <v>306</v>
      </c>
    </row>
    <row r="230" spans="21:41" x14ac:dyDescent="0.3">
      <c r="U230" s="170" t="s">
        <v>307</v>
      </c>
      <c r="V230" s="176">
        <v>38330</v>
      </c>
      <c r="W230" s="176">
        <v>40351</v>
      </c>
      <c r="X230" s="176">
        <v>32736</v>
      </c>
      <c r="Y230" s="176">
        <v>35324</v>
      </c>
      <c r="Z230" s="177">
        <v>34970</v>
      </c>
      <c r="AB230" s="66" t="s">
        <v>151</v>
      </c>
      <c r="AF230" s="169" t="s">
        <v>152</v>
      </c>
      <c r="AG230" s="190">
        <f>V234/V86*$AI$228</f>
        <v>79.746091561424834</v>
      </c>
      <c r="AH230" s="191">
        <f t="shared" ref="AH230:AK230" si="89">W234/W86*$AI$228</f>
        <v>80.885916918388006</v>
      </c>
      <c r="AI230" s="191">
        <f t="shared" si="89"/>
        <v>74.000799905302685</v>
      </c>
      <c r="AJ230" s="191">
        <f t="shared" si="89"/>
        <v>76.447809138210843</v>
      </c>
      <c r="AK230" s="191">
        <f t="shared" si="89"/>
        <v>74.828104924882012</v>
      </c>
      <c r="AL230" s="198">
        <f>AVERAGE(AG230:AK230)</f>
        <v>77.181744489641687</v>
      </c>
      <c r="AM230" s="183"/>
      <c r="AN230" s="183"/>
      <c r="AO230" s="184"/>
    </row>
    <row r="231" spans="21:41" x14ac:dyDescent="0.3">
      <c r="U231" s="170" t="s">
        <v>308</v>
      </c>
      <c r="V231" s="176">
        <v>6000</v>
      </c>
      <c r="W231" s="176">
        <v>5000</v>
      </c>
      <c r="X231" s="176">
        <v>8500</v>
      </c>
      <c r="Y231" s="176">
        <v>8100</v>
      </c>
      <c r="Z231" s="177">
        <v>2500</v>
      </c>
      <c r="AB231" s="66" t="s">
        <v>153</v>
      </c>
      <c r="AF231" s="169" t="s">
        <v>152</v>
      </c>
      <c r="AG231" s="192">
        <f>V235/V$87*$AI$228</f>
        <v>10.83595282233148</v>
      </c>
      <c r="AH231" s="38">
        <f t="shared" ref="AH231:AK231" si="90">W235/W$87*$AI$228</f>
        <v>8.0768197756832709</v>
      </c>
      <c r="AI231" s="38">
        <f t="shared" si="90"/>
        <v>9.3259704625810258</v>
      </c>
      <c r="AJ231" s="38">
        <f t="shared" si="90"/>
        <v>9.3275378962865734</v>
      </c>
      <c r="AK231" s="38">
        <f t="shared" si="90"/>
        <v>7.3425762677874609</v>
      </c>
      <c r="AL231" s="199">
        <f t="shared" ref="AL231:AL235" si="91">AVERAGE(AG231:AK231)</f>
        <v>8.9817714449339636</v>
      </c>
      <c r="AO231" s="185"/>
    </row>
    <row r="232" spans="21:41" x14ac:dyDescent="0.3">
      <c r="U232" s="170" t="s">
        <v>309</v>
      </c>
      <c r="V232" s="176">
        <v>44330</v>
      </c>
      <c r="W232" s="176">
        <v>45351</v>
      </c>
      <c r="X232" s="176">
        <v>41236</v>
      </c>
      <c r="Y232" s="176">
        <v>43424</v>
      </c>
      <c r="Z232" s="177">
        <v>37470</v>
      </c>
      <c r="AB232" s="66" t="s">
        <v>154</v>
      </c>
      <c r="AF232" s="169" t="s">
        <v>152</v>
      </c>
      <c r="AG232" s="193">
        <f>V246/V$87*$AI$228</f>
        <v>24.552994277424034</v>
      </c>
      <c r="AH232" s="194">
        <f t="shared" ref="AH232:AK232" si="92">W246/W$87*$AI$228</f>
        <v>23.50428987093084</v>
      </c>
      <c r="AI232" s="194">
        <f t="shared" si="92"/>
        <v>23.664440004419564</v>
      </c>
      <c r="AJ232" s="194">
        <f t="shared" si="92"/>
        <v>21.532603111143729</v>
      </c>
      <c r="AK232" s="194">
        <f t="shared" si="92"/>
        <v>20.585137495090951</v>
      </c>
      <c r="AL232" s="199">
        <f t="shared" si="91"/>
        <v>22.767892951801823</v>
      </c>
      <c r="AM232" s="188"/>
      <c r="AN232" s="188"/>
      <c r="AO232" s="189"/>
    </row>
    <row r="233" spans="21:41" x14ac:dyDescent="0.3">
      <c r="U233" s="170" t="s">
        <v>310</v>
      </c>
      <c r="V233" s="176">
        <v>52644</v>
      </c>
      <c r="W233" s="176">
        <v>57150</v>
      </c>
      <c r="X233" s="176">
        <v>56521</v>
      </c>
      <c r="Y233" s="176">
        <v>62594</v>
      </c>
      <c r="Z233" s="177">
        <v>63985</v>
      </c>
      <c r="AB233" s="66" t="s">
        <v>155</v>
      </c>
      <c r="AF233" s="169" t="s">
        <v>156</v>
      </c>
      <c r="AG233" s="195">
        <f>V236/V$86</f>
        <v>1.1886135470402941E-2</v>
      </c>
      <c r="AH233" s="32">
        <f t="shared" ref="AH233:AK233" si="93">W236/W$86</f>
        <v>1.6200642907274777E-2</v>
      </c>
      <c r="AI233" s="32">
        <f t="shared" si="93"/>
        <v>3.3800482812797052E-2</v>
      </c>
      <c r="AJ233" s="32">
        <f t="shared" si="93"/>
        <v>3.7529905807164012E-2</v>
      </c>
      <c r="AK233" s="32">
        <f t="shared" si="93"/>
        <v>3.4651355776347363E-2</v>
      </c>
      <c r="AL233" s="200">
        <f t="shared" si="91"/>
        <v>2.681370455479723E-2</v>
      </c>
      <c r="AO233" s="185"/>
    </row>
    <row r="234" spans="21:41" x14ac:dyDescent="0.3">
      <c r="U234" s="170" t="s">
        <v>311</v>
      </c>
      <c r="V234" s="176">
        <v>52644</v>
      </c>
      <c r="W234" s="176">
        <v>57150</v>
      </c>
      <c r="X234" s="176">
        <v>56521</v>
      </c>
      <c r="Y234" s="176">
        <v>62594</v>
      </c>
      <c r="Z234" s="177">
        <v>63985</v>
      </c>
      <c r="AB234" s="66" t="s">
        <v>157</v>
      </c>
      <c r="AF234" s="169" t="s">
        <v>156</v>
      </c>
      <c r="AG234" s="195">
        <f>V247/V$86</f>
        <v>4.5946719899731481E-2</v>
      </c>
      <c r="AH234" s="32">
        <f t="shared" ref="AH234:AK234" si="94">W247/W$86</f>
        <v>4.750068827527909E-2</v>
      </c>
      <c r="AI234" s="32">
        <f t="shared" si="94"/>
        <v>4.7560288826793598E-2</v>
      </c>
      <c r="AJ234" s="32">
        <f t="shared" si="94"/>
        <v>5.8433019357213366E-2</v>
      </c>
      <c r="AK234" s="32">
        <f t="shared" si="94"/>
        <v>6.4672918755947439E-2</v>
      </c>
      <c r="AL234" s="200">
        <f t="shared" si="91"/>
        <v>5.2822727022992996E-2</v>
      </c>
      <c r="AO234" s="185"/>
    </row>
    <row r="235" spans="21:41" x14ac:dyDescent="0.3">
      <c r="U235" s="170" t="s">
        <v>312</v>
      </c>
      <c r="V235" s="176">
        <v>5525</v>
      </c>
      <c r="W235" s="176">
        <v>4449</v>
      </c>
      <c r="X235" s="176">
        <v>5550</v>
      </c>
      <c r="Y235" s="176">
        <v>5919</v>
      </c>
      <c r="Z235" s="177">
        <v>4815</v>
      </c>
      <c r="AB235" s="66" t="s">
        <v>158</v>
      </c>
      <c r="AF235" s="169" t="s">
        <v>156</v>
      </c>
      <c r="AG235" s="196">
        <f>V251/V$86</f>
        <v>7.4080837341722244E-2</v>
      </c>
      <c r="AH235" s="197">
        <f t="shared" ref="AH235:AK235" si="95">W251/W$86</f>
        <v>7.0231221717702436E-2</v>
      </c>
      <c r="AI235" s="197">
        <f t="shared" si="95"/>
        <v>8.5801501526276705E-2</v>
      </c>
      <c r="AJ235" s="197">
        <f t="shared" si="95"/>
        <v>8.1377256529086006E-2</v>
      </c>
      <c r="AK235" s="197">
        <f t="shared" si="95"/>
        <v>6.6630568166890419E-2</v>
      </c>
      <c r="AL235" s="201">
        <f t="shared" si="91"/>
        <v>7.5624277056335565E-2</v>
      </c>
      <c r="AM235" s="186"/>
      <c r="AN235" s="186"/>
      <c r="AO235" s="187"/>
    </row>
    <row r="236" spans="21:41" x14ac:dyDescent="0.3">
      <c r="U236" s="170" t="s">
        <v>313</v>
      </c>
      <c r="V236" s="176">
        <v>2864</v>
      </c>
      <c r="W236" s="176">
        <v>4178</v>
      </c>
      <c r="X236" s="176">
        <v>9423</v>
      </c>
      <c r="Y236" s="176">
        <v>11216</v>
      </c>
      <c r="Z236" s="177">
        <v>10815</v>
      </c>
    </row>
    <row r="237" spans="21:41" x14ac:dyDescent="0.3">
      <c r="U237" s="170" t="s">
        <v>314</v>
      </c>
      <c r="V237" s="176">
        <v>105363</v>
      </c>
      <c r="W237" s="176">
        <v>111128</v>
      </c>
      <c r="X237" s="176">
        <v>112730</v>
      </c>
      <c r="Y237" s="176">
        <v>123153</v>
      </c>
      <c r="Z237" s="177">
        <v>117085</v>
      </c>
    </row>
    <row r="238" spans="21:41" x14ac:dyDescent="0.3">
      <c r="U238" s="175" t="s">
        <v>315</v>
      </c>
      <c r="V238" s="181">
        <v>89928</v>
      </c>
      <c r="W238" s="181">
        <v>90344</v>
      </c>
      <c r="X238" s="181">
        <v>99160</v>
      </c>
      <c r="Y238" s="181">
        <v>104163</v>
      </c>
      <c r="Z238" s="182">
        <v>102158</v>
      </c>
    </row>
    <row r="239" spans="21:41" x14ac:dyDescent="0.3">
      <c r="U239" s="170" t="s">
        <v>316</v>
      </c>
      <c r="V239" s="176">
        <v>31636</v>
      </c>
      <c r="W239" s="176">
        <v>19926</v>
      </c>
      <c r="X239" s="176">
        <v>20064</v>
      </c>
      <c r="Y239" s="176">
        <v>20766</v>
      </c>
      <c r="Z239" s="177">
        <v>23294</v>
      </c>
    </row>
    <row r="240" spans="21:41" x14ac:dyDescent="0.3">
      <c r="U240" s="170" t="s">
        <v>317</v>
      </c>
      <c r="V240" s="176">
        <v>444</v>
      </c>
      <c r="W240" s="176">
        <v>385</v>
      </c>
      <c r="X240" s="176">
        <v>336</v>
      </c>
      <c r="Y240" s="176">
        <v>272</v>
      </c>
      <c r="Z240" s="177">
        <v>224</v>
      </c>
    </row>
    <row r="241" spans="21:26" x14ac:dyDescent="0.3">
      <c r="U241" s="170" t="s">
        <v>318</v>
      </c>
      <c r="V241" s="176">
        <v>4261</v>
      </c>
      <c r="W241" s="176">
        <v>4162</v>
      </c>
      <c r="X241" s="176">
        <v>5090</v>
      </c>
      <c r="Y241" s="176">
        <v>5272</v>
      </c>
      <c r="Z241" s="177">
        <v>5045</v>
      </c>
    </row>
    <row r="242" spans="21:26" x14ac:dyDescent="0.3">
      <c r="U242" s="170" t="s">
        <v>319</v>
      </c>
      <c r="V242" s="176">
        <v>2903</v>
      </c>
      <c r="W242" s="176">
        <v>2968</v>
      </c>
      <c r="X242" s="176">
        <v>3454</v>
      </c>
      <c r="Y242" s="176">
        <v>3968</v>
      </c>
      <c r="Z242" s="177">
        <v>3994</v>
      </c>
    </row>
    <row r="243" spans="21:26" x14ac:dyDescent="0.3">
      <c r="U243" s="170" t="s">
        <v>320</v>
      </c>
      <c r="V243" s="176">
        <v>2</v>
      </c>
      <c r="W243" s="176">
        <v>2</v>
      </c>
      <c r="X243" s="176">
        <v>1</v>
      </c>
      <c r="Y243" s="176">
        <v>2</v>
      </c>
      <c r="Z243" s="177">
        <v>2</v>
      </c>
    </row>
    <row r="244" spans="21:26" x14ac:dyDescent="0.3">
      <c r="U244" s="170" t="s">
        <v>321</v>
      </c>
      <c r="V244" s="176">
        <v>234537</v>
      </c>
      <c r="W244" s="176">
        <v>228915</v>
      </c>
      <c r="X244" s="176">
        <v>240835</v>
      </c>
      <c r="Y244" s="176">
        <v>257596</v>
      </c>
      <c r="Z244" s="177">
        <v>251802</v>
      </c>
    </row>
    <row r="245" spans="21:26" x14ac:dyDescent="0.3">
      <c r="U245" s="175" t="s">
        <v>322</v>
      </c>
      <c r="V245" s="171"/>
      <c r="W245" s="171"/>
      <c r="X245" s="171"/>
      <c r="Y245" s="171"/>
      <c r="Z245" s="172"/>
    </row>
    <row r="246" spans="21:26" x14ac:dyDescent="0.3">
      <c r="U246" s="170" t="s">
        <v>154</v>
      </c>
      <c r="V246" s="176">
        <v>12519</v>
      </c>
      <c r="W246" s="176">
        <v>12947</v>
      </c>
      <c r="X246" s="176">
        <v>14083</v>
      </c>
      <c r="Y246" s="176">
        <v>13664</v>
      </c>
      <c r="Z246" s="177">
        <v>13499</v>
      </c>
    </row>
    <row r="247" spans="21:26" x14ac:dyDescent="0.3">
      <c r="U247" s="170" t="s">
        <v>323</v>
      </c>
      <c r="V247" s="176">
        <v>11071</v>
      </c>
      <c r="W247" s="176">
        <v>12250</v>
      </c>
      <c r="X247" s="176">
        <v>13259</v>
      </c>
      <c r="Y247" s="176">
        <v>17463</v>
      </c>
      <c r="Z247" s="177">
        <v>20185</v>
      </c>
    </row>
    <row r="248" spans="21:26" x14ac:dyDescent="0.3">
      <c r="U248" s="170" t="s">
        <v>324</v>
      </c>
      <c r="V248" s="176">
        <v>20725</v>
      </c>
      <c r="W248" s="176">
        <v>4738</v>
      </c>
      <c r="X248" s="176">
        <v>12141</v>
      </c>
      <c r="Y248" s="176">
        <v>51245</v>
      </c>
      <c r="Z248" s="177">
        <v>40580</v>
      </c>
    </row>
    <row r="249" spans="21:26" x14ac:dyDescent="0.3">
      <c r="U249" s="170" t="s">
        <v>325</v>
      </c>
      <c r="V249" s="176">
        <v>3431</v>
      </c>
      <c r="W249" s="176">
        <v>14724</v>
      </c>
      <c r="X249" s="176">
        <v>5714</v>
      </c>
      <c r="Y249" s="176">
        <v>259</v>
      </c>
      <c r="Z249" s="177">
        <v>8560</v>
      </c>
    </row>
    <row r="250" spans="21:26" x14ac:dyDescent="0.3">
      <c r="U250" s="170" t="s">
        <v>326</v>
      </c>
      <c r="V250" s="176">
        <v>3155</v>
      </c>
      <c r="W250" s="176">
        <v>5247</v>
      </c>
      <c r="X250" s="176">
        <v>2828</v>
      </c>
      <c r="Y250" s="176">
        <v>5789</v>
      </c>
      <c r="Z250" s="177">
        <v>4856</v>
      </c>
    </row>
    <row r="251" spans="21:26" x14ac:dyDescent="0.3">
      <c r="U251" s="170" t="s">
        <v>327</v>
      </c>
      <c r="V251" s="176">
        <v>17850</v>
      </c>
      <c r="W251" s="176">
        <v>18112</v>
      </c>
      <c r="X251" s="176">
        <v>23920</v>
      </c>
      <c r="Y251" s="176">
        <v>24320</v>
      </c>
      <c r="Z251" s="177">
        <v>20796</v>
      </c>
    </row>
    <row r="252" spans="21:26" x14ac:dyDescent="0.3">
      <c r="U252" s="170" t="s">
        <v>328</v>
      </c>
      <c r="V252" s="176">
        <v>68751</v>
      </c>
      <c r="W252" s="176">
        <v>68018</v>
      </c>
      <c r="X252" s="176">
        <v>71945</v>
      </c>
      <c r="Y252" s="176">
        <v>112740</v>
      </c>
      <c r="Z252" s="177">
        <v>108476</v>
      </c>
    </row>
    <row r="253" spans="21:26" x14ac:dyDescent="0.3">
      <c r="U253" s="170"/>
      <c r="V253" s="176"/>
      <c r="W253" s="176"/>
      <c r="X253" s="176"/>
      <c r="Y253" s="176"/>
      <c r="Z253" s="177"/>
    </row>
    <row r="254" spans="21:26" x14ac:dyDescent="0.3">
      <c r="U254" s="170"/>
      <c r="V254" s="176"/>
      <c r="W254" s="176"/>
      <c r="X254" s="176"/>
      <c r="Y254" s="176"/>
      <c r="Z254" s="177"/>
    </row>
    <row r="255" spans="21:26" x14ac:dyDescent="0.3">
      <c r="U255" s="170" t="s">
        <v>329</v>
      </c>
      <c r="V255" s="176">
        <v>20515</v>
      </c>
      <c r="W255" s="176">
        <v>9366</v>
      </c>
      <c r="X255" s="176">
        <v>8783</v>
      </c>
      <c r="Y255" s="176">
        <v>8524</v>
      </c>
      <c r="Z255" s="177">
        <v>164</v>
      </c>
    </row>
    <row r="256" spans="21:26" x14ac:dyDescent="0.3">
      <c r="U256" s="170" t="s">
        <v>330</v>
      </c>
      <c r="V256" s="176">
        <v>6414</v>
      </c>
      <c r="W256" s="176">
        <v>6324</v>
      </c>
      <c r="X256" s="176">
        <v>4914</v>
      </c>
      <c r="Y256" s="176">
        <v>4962</v>
      </c>
      <c r="Z256" s="177">
        <v>4951</v>
      </c>
    </row>
    <row r="257" spans="21:26" x14ac:dyDescent="0.3">
      <c r="U257" s="170" t="s">
        <v>331</v>
      </c>
      <c r="V257" s="176">
        <v>1516</v>
      </c>
      <c r="W257" s="171" t="s">
        <v>244</v>
      </c>
      <c r="X257" s="171" t="s">
        <v>244</v>
      </c>
      <c r="Y257" s="171" t="s">
        <v>244</v>
      </c>
      <c r="Z257" s="177">
        <v>2355</v>
      </c>
    </row>
    <row r="258" spans="21:26" x14ac:dyDescent="0.3">
      <c r="U258" s="170" t="s">
        <v>332</v>
      </c>
      <c r="V258" s="176">
        <v>2179</v>
      </c>
      <c r="W258" s="176">
        <v>2240</v>
      </c>
      <c r="X258" s="176">
        <v>2449</v>
      </c>
      <c r="Y258" s="176">
        <v>2450</v>
      </c>
      <c r="Z258" s="177">
        <v>115946</v>
      </c>
    </row>
    <row r="259" spans="21:26" x14ac:dyDescent="0.3">
      <c r="U259" s="170" t="s">
        <v>333</v>
      </c>
      <c r="V259" s="176">
        <v>99375</v>
      </c>
      <c r="W259" s="176">
        <v>85948</v>
      </c>
      <c r="X259" s="176">
        <v>88091</v>
      </c>
      <c r="Y259" s="176">
        <v>128676</v>
      </c>
      <c r="Z259" s="172"/>
    </row>
    <row r="260" spans="21:26" x14ac:dyDescent="0.3">
      <c r="U260" s="175" t="s">
        <v>334</v>
      </c>
      <c r="V260" s="171"/>
      <c r="W260" s="171"/>
      <c r="X260" s="171"/>
      <c r="Y260" s="171"/>
      <c r="Z260" s="180"/>
    </row>
    <row r="261" spans="21:26" x14ac:dyDescent="0.3">
      <c r="U261" s="170" t="s">
        <v>335</v>
      </c>
      <c r="V261" s="176">
        <v>26200</v>
      </c>
      <c r="W261" s="176">
        <v>26200</v>
      </c>
      <c r="X261" s="176">
        <v>26200</v>
      </c>
      <c r="Y261" s="176">
        <v>26200</v>
      </c>
      <c r="Z261" s="177">
        <v>26200</v>
      </c>
    </row>
    <row r="262" spans="21:26" x14ac:dyDescent="0.3">
      <c r="U262" s="170" t="s">
        <v>336</v>
      </c>
      <c r="V262" s="176">
        <v>28808</v>
      </c>
      <c r="W262" s="176">
        <v>28979</v>
      </c>
      <c r="X262" s="176">
        <v>29089</v>
      </c>
      <c r="Y262" s="176">
        <v>9688</v>
      </c>
      <c r="Z262" s="177">
        <v>6978</v>
      </c>
    </row>
    <row r="263" spans="21:26" x14ac:dyDescent="0.3">
      <c r="U263" s="170" t="s">
        <v>337</v>
      </c>
      <c r="V263" s="176">
        <v>74868</v>
      </c>
      <c r="W263" s="176">
        <v>82645</v>
      </c>
      <c r="X263" s="176">
        <v>91020</v>
      </c>
      <c r="Y263" s="176">
        <v>98283</v>
      </c>
      <c r="Z263" s="177">
        <v>108736</v>
      </c>
    </row>
    <row r="264" spans="21:26" x14ac:dyDescent="0.3">
      <c r="U264" s="170" t="s">
        <v>338</v>
      </c>
      <c r="V264" s="176">
        <v>-4868</v>
      </c>
      <c r="W264" s="176">
        <v>-4748</v>
      </c>
      <c r="X264" s="176">
        <v>-4593</v>
      </c>
      <c r="Y264" s="176">
        <v>-4453</v>
      </c>
      <c r="Z264" s="177">
        <v>-4297</v>
      </c>
    </row>
    <row r="265" spans="21:26" x14ac:dyDescent="0.3">
      <c r="U265" s="170" t="s">
        <v>339</v>
      </c>
      <c r="V265" s="176">
        <v>-5459</v>
      </c>
      <c r="W265" s="176">
        <v>-7409</v>
      </c>
      <c r="X265" s="176">
        <v>-7021</v>
      </c>
      <c r="Y265" s="176">
        <v>-5371</v>
      </c>
      <c r="Z265" s="177">
        <v>-3863</v>
      </c>
    </row>
    <row r="266" spans="21:26" x14ac:dyDescent="0.3">
      <c r="U266" s="170" t="s">
        <v>340</v>
      </c>
      <c r="V266" s="176">
        <v>119549</v>
      </c>
      <c r="W266" s="176">
        <v>125667</v>
      </c>
      <c r="X266" s="176">
        <v>134695</v>
      </c>
      <c r="Y266" s="176">
        <v>124347</v>
      </c>
      <c r="Z266" s="177">
        <v>133754</v>
      </c>
    </row>
    <row r="267" spans="21:26" x14ac:dyDescent="0.3">
      <c r="U267" s="170" t="s">
        <v>341</v>
      </c>
      <c r="V267" s="176">
        <v>15613</v>
      </c>
      <c r="W267" s="176">
        <v>17300</v>
      </c>
      <c r="X267" s="176">
        <v>18049</v>
      </c>
      <c r="Y267" s="176">
        <v>4573</v>
      </c>
      <c r="Z267" s="177">
        <v>2102</v>
      </c>
    </row>
    <row r="268" spans="21:26" x14ac:dyDescent="0.3">
      <c r="U268" s="170" t="s">
        <v>342</v>
      </c>
      <c r="V268" s="176">
        <v>135162</v>
      </c>
      <c r="W268" s="176">
        <v>142967</v>
      </c>
      <c r="X268" s="176">
        <v>152744</v>
      </c>
      <c r="Y268" s="176">
        <v>128920</v>
      </c>
      <c r="Z268" s="177">
        <v>135856</v>
      </c>
    </row>
    <row r="269" spans="21:26" x14ac:dyDescent="0.3">
      <c r="U269" s="170" t="s">
        <v>343</v>
      </c>
      <c r="V269" s="176">
        <v>234537</v>
      </c>
      <c r="W269" s="176">
        <v>228915</v>
      </c>
      <c r="X269" s="176">
        <v>240835</v>
      </c>
      <c r="Y269" s="176">
        <v>257596</v>
      </c>
      <c r="Z269" s="177">
        <v>251802</v>
      </c>
    </row>
    <row r="270" spans="21:26" x14ac:dyDescent="0.3">
      <c r="U270" s="175" t="s">
        <v>344</v>
      </c>
      <c r="V270" s="171"/>
      <c r="W270" s="171"/>
      <c r="X270" s="171"/>
      <c r="Y270" s="171"/>
      <c r="Z270" s="180"/>
    </row>
    <row r="271" spans="21:26" x14ac:dyDescent="0.3">
      <c r="U271" s="170" t="s">
        <v>345</v>
      </c>
      <c r="V271" s="176">
        <v>62589048</v>
      </c>
      <c r="W271" s="176">
        <v>62713252</v>
      </c>
      <c r="X271" s="176">
        <v>62817382</v>
      </c>
      <c r="Y271" s="176">
        <v>62912042</v>
      </c>
      <c r="Z271" s="177">
        <v>63011472</v>
      </c>
    </row>
    <row r="272" spans="21:26" x14ac:dyDescent="0.3">
      <c r="U272" s="170" t="s">
        <v>346</v>
      </c>
      <c r="V272" s="176">
        <v>62587450</v>
      </c>
      <c r="W272" s="176">
        <v>62706654</v>
      </c>
      <c r="X272" s="176">
        <v>62817382</v>
      </c>
      <c r="Y272" s="176">
        <v>62912042</v>
      </c>
      <c r="Z272" s="177">
        <v>63011472</v>
      </c>
    </row>
    <row r="273" spans="21:26" x14ac:dyDescent="0.3">
      <c r="U273" s="170" t="s">
        <v>347</v>
      </c>
      <c r="V273" s="178">
        <v>1910.1110000000001</v>
      </c>
      <c r="W273" s="178">
        <v>2004.046</v>
      </c>
      <c r="X273" s="178">
        <v>2144.2310000000002</v>
      </c>
      <c r="Y273" s="178">
        <v>1976.521</v>
      </c>
      <c r="Z273" s="179">
        <v>2122.6930000000002</v>
      </c>
    </row>
    <row r="274" spans="21:26" x14ac:dyDescent="0.3">
      <c r="U274" s="170" t="s">
        <v>348</v>
      </c>
      <c r="V274" s="176">
        <v>114844</v>
      </c>
      <c r="W274" s="176">
        <v>121120</v>
      </c>
      <c r="X274" s="176">
        <v>129269</v>
      </c>
      <c r="Y274" s="176">
        <v>118803</v>
      </c>
      <c r="Z274" s="177">
        <v>128485</v>
      </c>
    </row>
    <row r="275" spans="21:26" x14ac:dyDescent="0.3">
      <c r="U275" s="170" t="s">
        <v>349</v>
      </c>
      <c r="V275" s="178">
        <v>1834.9369999999999</v>
      </c>
      <c r="W275" s="178">
        <v>1931.5329999999999</v>
      </c>
      <c r="X275" s="178">
        <v>2057.8539999999998</v>
      </c>
      <c r="Y275" s="178">
        <v>1888.3979999999999</v>
      </c>
      <c r="Z275" s="179">
        <v>2039.0730000000001</v>
      </c>
    </row>
    <row r="276" spans="21:26" x14ac:dyDescent="0.3">
      <c r="U276" s="170" t="s">
        <v>46</v>
      </c>
      <c r="V276" s="176">
        <v>44671</v>
      </c>
      <c r="W276" s="176">
        <v>28828</v>
      </c>
      <c r="X276" s="176">
        <v>26638</v>
      </c>
      <c r="Y276" s="176">
        <v>60028</v>
      </c>
      <c r="Z276" s="177">
        <v>49304</v>
      </c>
    </row>
    <row r="277" spans="21:26" x14ac:dyDescent="0.3">
      <c r="U277" s="170" t="s">
        <v>26</v>
      </c>
      <c r="V277" s="176">
        <v>341</v>
      </c>
      <c r="W277" s="176">
        <v>-16523</v>
      </c>
      <c r="X277" s="176">
        <v>-14598</v>
      </c>
      <c r="Y277" s="176">
        <v>16604</v>
      </c>
      <c r="Z277" s="177">
        <v>11834</v>
      </c>
    </row>
    <row r="278" spans="21:26" x14ac:dyDescent="0.3">
      <c r="U278" s="170" t="s">
        <v>350</v>
      </c>
      <c r="V278" s="176">
        <v>627</v>
      </c>
      <c r="W278" s="176">
        <v>-219</v>
      </c>
      <c r="X278" s="176">
        <v>-2770</v>
      </c>
      <c r="Y278" s="176">
        <v>-2882</v>
      </c>
      <c r="Z278" s="177">
        <v>2102</v>
      </c>
    </row>
    <row r="279" spans="21:26" x14ac:dyDescent="0.3">
      <c r="U279" s="170" t="s">
        <v>351</v>
      </c>
      <c r="V279" s="176">
        <v>9696</v>
      </c>
      <c r="W279" s="176">
        <v>8192</v>
      </c>
      <c r="X279" s="176">
        <v>8672</v>
      </c>
      <c r="Y279" s="176">
        <v>7848</v>
      </c>
      <c r="Z279" s="177">
        <v>78</v>
      </c>
    </row>
    <row r="280" spans="21:26" x14ac:dyDescent="0.3">
      <c r="U280" s="170" t="s">
        <v>341</v>
      </c>
      <c r="V280" s="176">
        <v>15613</v>
      </c>
      <c r="W280" s="176">
        <v>17300</v>
      </c>
      <c r="X280" s="176">
        <v>18049</v>
      </c>
      <c r="Y280" s="176">
        <v>4573</v>
      </c>
      <c r="Z280" s="177">
        <v>3822</v>
      </c>
    </row>
    <row r="281" spans="21:26" x14ac:dyDescent="0.3">
      <c r="U281" s="170" t="s">
        <v>352</v>
      </c>
      <c r="V281" s="176">
        <v>39</v>
      </c>
      <c r="W281" s="176">
        <v>37</v>
      </c>
      <c r="X281" s="176">
        <v>55</v>
      </c>
      <c r="Y281" s="176">
        <v>91</v>
      </c>
      <c r="Z281" s="177">
        <v>915</v>
      </c>
    </row>
    <row r="282" spans="21:26" x14ac:dyDescent="0.3">
      <c r="U282" s="170" t="s">
        <v>353</v>
      </c>
      <c r="V282" s="176">
        <v>3419</v>
      </c>
      <c r="W282" s="176">
        <v>3034</v>
      </c>
      <c r="X282" s="176">
        <v>3763</v>
      </c>
      <c r="Y282" s="176">
        <v>4478</v>
      </c>
      <c r="Z282" s="177">
        <v>99</v>
      </c>
    </row>
    <row r="283" spans="21:26" x14ac:dyDescent="0.3">
      <c r="U283" s="170" t="s">
        <v>354</v>
      </c>
      <c r="V283" s="176">
        <v>2067</v>
      </c>
      <c r="W283" s="176">
        <v>1378</v>
      </c>
      <c r="X283" s="176">
        <v>1732</v>
      </c>
      <c r="Y283" s="176">
        <v>1350</v>
      </c>
      <c r="Z283" s="172" t="s">
        <v>355</v>
      </c>
    </row>
    <row r="284" spans="21:26" x14ac:dyDescent="0.3">
      <c r="U284" s="170" t="s">
        <v>356</v>
      </c>
      <c r="V284" s="176">
        <v>14422</v>
      </c>
      <c r="W284" s="176">
        <v>14956</v>
      </c>
      <c r="X284" s="176">
        <v>17082</v>
      </c>
      <c r="Y284" s="176">
        <v>17921</v>
      </c>
      <c r="Z284" s="172" t="s">
        <v>240</v>
      </c>
    </row>
    <row r="285" spans="21:26" x14ac:dyDescent="0.3">
      <c r="U285" s="170" t="s">
        <v>357</v>
      </c>
      <c r="V285" s="176">
        <v>106</v>
      </c>
      <c r="W285" s="176">
        <v>202</v>
      </c>
      <c r="X285" s="176">
        <v>113</v>
      </c>
      <c r="Y285" s="176">
        <v>102</v>
      </c>
      <c r="Z285" s="180"/>
    </row>
    <row r="286" spans="21:26" x14ac:dyDescent="0.3">
      <c r="U286" s="170" t="s">
        <v>358</v>
      </c>
      <c r="V286" s="176">
        <v>63169</v>
      </c>
      <c r="W286" s="176">
        <v>62377</v>
      </c>
      <c r="X286" s="176">
        <v>77772</v>
      </c>
      <c r="Y286" s="176">
        <v>79367</v>
      </c>
      <c r="Z286" s="180"/>
    </row>
    <row r="287" spans="21:26" x14ac:dyDescent="0.3">
      <c r="U287" s="170" t="s">
        <v>237</v>
      </c>
      <c r="V287" s="171" t="s">
        <v>238</v>
      </c>
      <c r="W287" s="171" t="s">
        <v>238</v>
      </c>
      <c r="X287" s="171" t="s">
        <v>238</v>
      </c>
      <c r="Y287" s="171" t="s">
        <v>238</v>
      </c>
      <c r="Z287" s="180"/>
    </row>
    <row r="288" spans="21:26" x14ac:dyDescent="0.3">
      <c r="U288" s="170" t="s">
        <v>239</v>
      </c>
      <c r="V288" s="171" t="s">
        <v>240</v>
      </c>
      <c r="W288" s="171" t="s">
        <v>240</v>
      </c>
      <c r="X288" s="171" t="s">
        <v>240</v>
      </c>
      <c r="Y288" s="171" t="s">
        <v>240</v>
      </c>
      <c r="Z288" s="180"/>
    </row>
    <row r="289" spans="21:26" x14ac:dyDescent="0.3">
      <c r="U289" s="175" t="s">
        <v>359</v>
      </c>
      <c r="V289" s="171"/>
      <c r="W289" s="171"/>
      <c r="X289" s="171"/>
      <c r="Y289" s="171"/>
      <c r="Z289" s="180"/>
    </row>
    <row r="290" spans="21:26" x14ac:dyDescent="0.3">
      <c r="U290" s="170" t="s">
        <v>360</v>
      </c>
      <c r="V290" s="171" t="s">
        <v>244</v>
      </c>
      <c r="W290" s="171" t="s">
        <v>244</v>
      </c>
      <c r="X290" s="176">
        <v>11361</v>
      </c>
      <c r="Y290" s="176">
        <v>10287</v>
      </c>
      <c r="Z290" s="180"/>
    </row>
    <row r="291" spans="21:26" x14ac:dyDescent="0.3">
      <c r="U291" s="170" t="s">
        <v>361</v>
      </c>
      <c r="V291" s="171" t="s">
        <v>244</v>
      </c>
      <c r="W291" s="171" t="s">
        <v>244</v>
      </c>
      <c r="X291" s="176">
        <v>59775</v>
      </c>
      <c r="Y291" s="176">
        <v>67825</v>
      </c>
      <c r="Z291" s="180"/>
    </row>
    <row r="292" spans="21:26" x14ac:dyDescent="0.3">
      <c r="U292" s="170" t="s">
        <v>362</v>
      </c>
      <c r="V292" s="171" t="s">
        <v>244</v>
      </c>
      <c r="W292" s="171" t="s">
        <v>244</v>
      </c>
      <c r="X292" s="176">
        <v>71136</v>
      </c>
      <c r="Y292" s="176">
        <v>78112</v>
      </c>
      <c r="Z292" s="180"/>
    </row>
    <row r="293" spans="21:26" x14ac:dyDescent="0.3">
      <c r="U293" s="170" t="s">
        <v>363</v>
      </c>
      <c r="V293" s="171" t="s">
        <v>244</v>
      </c>
      <c r="W293" s="171" t="s">
        <v>244</v>
      </c>
      <c r="X293" s="176">
        <v>14508</v>
      </c>
      <c r="Y293" s="176">
        <v>8789</v>
      </c>
      <c r="Z293" s="180"/>
    </row>
    <row r="294" spans="21:26" x14ac:dyDescent="0.3">
      <c r="U294" s="170" t="s">
        <v>364</v>
      </c>
      <c r="V294" s="171" t="s">
        <v>244</v>
      </c>
      <c r="W294" s="171" t="s">
        <v>244</v>
      </c>
      <c r="X294" s="176">
        <v>14508</v>
      </c>
      <c r="Y294" s="176">
        <v>8789</v>
      </c>
      <c r="Z294" s="180"/>
    </row>
  </sheetData>
  <conditionalFormatting sqref="E18:E20">
    <cfRule type="containsText" dxfId="148" priority="35" operator="containsText" text="OK">
      <formula>NOT(ISERROR(SEARCH("OK",E18)))</formula>
    </cfRule>
    <cfRule type="containsText" dxfId="147" priority="36" operator="containsText" text="ERROR">
      <formula>NOT(ISERROR(SEARCH("ERROR",E18)))</formula>
    </cfRule>
  </conditionalFormatting>
  <conditionalFormatting sqref="E25:E27">
    <cfRule type="containsText" dxfId="146" priority="34" operator="containsText" text="ERROR">
      <formula>NOT(ISERROR(SEARCH("ERROR",E25)))</formula>
    </cfRule>
    <cfRule type="containsText" dxfId="145" priority="33" operator="containsText" text="OK">
      <formula>NOT(ISERROR(SEARCH("OK",E25)))</formula>
    </cfRule>
  </conditionalFormatting>
  <conditionalFormatting sqref="E30:E32">
    <cfRule type="containsText" dxfId="144" priority="32" operator="containsText" text="ERROR">
      <formula>NOT(ISERROR(SEARCH("ERROR",E30)))</formula>
    </cfRule>
    <cfRule type="containsText" dxfId="143" priority="31" operator="containsText" text="OK">
      <formula>NOT(ISERROR(SEARCH("OK",E30)))</formula>
    </cfRule>
  </conditionalFormatting>
  <conditionalFormatting sqref="E42:E44">
    <cfRule type="containsText" dxfId="142" priority="30" operator="containsText" text="ERROR">
      <formula>NOT(ISERROR(SEARCH("ERROR",E42)))</formula>
    </cfRule>
    <cfRule type="containsText" dxfId="141" priority="29" operator="containsText" text="OK">
      <formula>NOT(ISERROR(SEARCH("OK",E42)))</formula>
    </cfRule>
  </conditionalFormatting>
  <conditionalFormatting sqref="E47:E49">
    <cfRule type="containsText" dxfId="140" priority="21" operator="containsText" text="OK">
      <formula>NOT(ISERROR(SEARCH("OK",E47)))</formula>
    </cfRule>
    <cfRule type="containsText" dxfId="139" priority="22" operator="containsText" text="ERROR">
      <formula>NOT(ISERROR(SEARCH("ERROR",E47)))</formula>
    </cfRule>
  </conditionalFormatting>
  <conditionalFormatting sqref="E54:E56">
    <cfRule type="containsText" dxfId="138" priority="19" operator="containsText" text="OK">
      <formula>NOT(ISERROR(SEARCH("OK",E54)))</formula>
    </cfRule>
    <cfRule type="containsText" dxfId="137" priority="20" operator="containsText" text="ERROR">
      <formula>NOT(ISERROR(SEARCH("ERROR",E54)))</formula>
    </cfRule>
  </conditionalFormatting>
  <conditionalFormatting sqref="E59:E61">
    <cfRule type="containsText" dxfId="136" priority="17" operator="containsText" text="OK">
      <formula>NOT(ISERROR(SEARCH("OK",E59)))</formula>
    </cfRule>
    <cfRule type="containsText" dxfId="135" priority="18" operator="containsText" text="ERROR">
      <formula>NOT(ISERROR(SEARCH("ERROR",E59)))</formula>
    </cfRule>
  </conditionalFormatting>
  <conditionalFormatting sqref="E67">
    <cfRule type="containsText" dxfId="134" priority="7" operator="containsText" text="OK">
      <formula>NOT(ISERROR(SEARCH("OK",E67)))</formula>
    </cfRule>
    <cfRule type="containsText" dxfId="133" priority="8" operator="containsText" text="ERROR">
      <formula>NOT(ISERROR(SEARCH("ERROR",E67)))</formula>
    </cfRule>
  </conditionalFormatting>
  <conditionalFormatting sqref="G8:O8 G10:R10 E13:E15">
    <cfRule type="containsText" dxfId="132" priority="52" operator="containsText" text="ERROR">
      <formula>NOT(ISERROR(SEARCH("ERROR",E8)))</formula>
    </cfRule>
  </conditionalFormatting>
  <conditionalFormatting sqref="G10:O10">
    <cfRule type="containsText" dxfId="131" priority="15" operator="containsText" text="OK">
      <formula>NOT(ISERROR(SEARCH("OK",G10)))</formula>
    </cfRule>
    <cfRule type="containsText" dxfId="130" priority="16" operator="containsText" text="ERROR">
      <formula>NOT(ISERROR(SEARCH("ERROR",G10)))</formula>
    </cfRule>
  </conditionalFormatting>
  <conditionalFormatting sqref="G35:O35">
    <cfRule type="containsText" dxfId="129" priority="136" operator="containsText" text="ERROR">
      <formula>NOT(ISERROR(SEARCH("ERROR",G35)))</formula>
    </cfRule>
    <cfRule type="containsText" dxfId="128" priority="135" operator="containsText" text="OK">
      <formula>NOT(ISERROR(SEARCH("OK",G35)))</formula>
    </cfRule>
  </conditionalFormatting>
  <conditionalFormatting sqref="G37:O37">
    <cfRule type="containsText" dxfId="127" priority="132" operator="containsText" text="ERROR">
      <formula>NOT(ISERROR(SEARCH("ERROR",G37)))</formula>
    </cfRule>
    <cfRule type="containsText" dxfId="126" priority="131" operator="containsText" text="OK">
      <formula>NOT(ISERROR(SEARCH("OK",G37)))</formula>
    </cfRule>
  </conditionalFormatting>
  <conditionalFormatting sqref="G41:O41">
    <cfRule type="containsText" dxfId="125" priority="130" operator="containsText" text="ERROR">
      <formula>NOT(ISERROR(SEARCH("ERROR",G41)))</formula>
    </cfRule>
    <cfRule type="containsText" dxfId="124" priority="129" operator="containsText" text="OK">
      <formula>NOT(ISERROR(SEARCH("OK",G41)))</formula>
    </cfRule>
  </conditionalFormatting>
  <conditionalFormatting sqref="G46:O46">
    <cfRule type="containsText" dxfId="123" priority="80" operator="containsText" text="ERROR">
      <formula>NOT(ISERROR(SEARCH("ERROR",G46)))</formula>
    </cfRule>
    <cfRule type="containsText" dxfId="122" priority="79" operator="containsText" text="OK">
      <formula>NOT(ISERROR(SEARCH("OK",G46)))</formula>
    </cfRule>
  </conditionalFormatting>
  <conditionalFormatting sqref="G51:O51">
    <cfRule type="containsText" dxfId="121" priority="91" operator="containsText" text="OK">
      <formula>NOT(ISERROR(SEARCH("OK",G51)))</formula>
    </cfRule>
    <cfRule type="containsText" dxfId="120" priority="92" operator="containsText" text="ERROR">
      <formula>NOT(ISERROR(SEARCH("ERROR",G51)))</formula>
    </cfRule>
  </conditionalFormatting>
  <conditionalFormatting sqref="G53:O53">
    <cfRule type="containsText" dxfId="119" priority="102" operator="containsText" text="ERROR">
      <formula>NOT(ISERROR(SEARCH("ERROR",G53)))</formula>
    </cfRule>
    <cfRule type="containsText" dxfId="118" priority="101" operator="containsText" text="OK">
      <formula>NOT(ISERROR(SEARCH("OK",G53)))</formula>
    </cfRule>
  </conditionalFormatting>
  <conditionalFormatting sqref="G58:O58">
    <cfRule type="containsText" dxfId="117" priority="89" operator="containsText" text="OK">
      <formula>NOT(ISERROR(SEARCH("OK",G58)))</formula>
    </cfRule>
    <cfRule type="containsText" dxfId="116" priority="90" operator="containsText" text="ERROR">
      <formula>NOT(ISERROR(SEARCH("ERROR",G58)))</formula>
    </cfRule>
  </conditionalFormatting>
  <conditionalFormatting sqref="G63:O63">
    <cfRule type="containsText" dxfId="115" priority="11" operator="containsText" text="OK">
      <formula>NOT(ISERROR(SEARCH("OK",G63)))</formula>
    </cfRule>
    <cfRule type="containsText" dxfId="114" priority="12" operator="containsText" text="ERROR">
      <formula>NOT(ISERROR(SEARCH("ERROR",G63)))</formula>
    </cfRule>
  </conditionalFormatting>
  <conditionalFormatting sqref="G65:O65">
    <cfRule type="containsText" dxfId="113" priority="77" operator="containsText" text="OK">
      <formula>NOT(ISERROR(SEARCH("OK",G65)))</formula>
    </cfRule>
    <cfRule type="containsText" dxfId="112" priority="78" operator="containsText" text="ERROR">
      <formula>NOT(ISERROR(SEARCH("ERROR",G65)))</formula>
    </cfRule>
  </conditionalFormatting>
  <conditionalFormatting sqref="G67:O67">
    <cfRule type="containsText" dxfId="111" priority="10" operator="containsText" text="ERROR">
      <formula>NOT(ISERROR(SEARCH("ERROR",G67)))</formula>
    </cfRule>
    <cfRule type="containsText" dxfId="110" priority="9" operator="containsText" text="OK">
      <formula>NOT(ISERROR(SEARCH("OK",G67)))</formula>
    </cfRule>
  </conditionalFormatting>
  <conditionalFormatting sqref="G6:R6">
    <cfRule type="containsText" dxfId="109" priority="5" operator="containsText" text="OK">
      <formula>NOT(ISERROR(SEARCH("OK",G6)))</formula>
    </cfRule>
    <cfRule type="containsText" dxfId="108" priority="6" operator="containsText" text="ERROR">
      <formula>NOT(ISERROR(SEARCH("ERROR",G6)))</formula>
    </cfRule>
  </conditionalFormatting>
  <conditionalFormatting sqref="G8:R8">
    <cfRule type="containsText" dxfId="107" priority="170" operator="containsText" text="ERROR">
      <formula>NOT(ISERROR(SEARCH("ERROR",G8)))</formula>
    </cfRule>
    <cfRule type="containsText" dxfId="106" priority="169" operator="containsText" text="OK">
      <formula>NOT(ISERROR(SEARCH("OK",G8)))</formula>
    </cfRule>
  </conditionalFormatting>
  <conditionalFormatting sqref="G10:R10 G8:O8 E13:E15">
    <cfRule type="containsText" dxfId="105" priority="51" operator="containsText" text="OK">
      <formula>NOT(ISERROR(SEARCH("OK",E8)))</formula>
    </cfRule>
  </conditionalFormatting>
  <conditionalFormatting sqref="G12:R12">
    <cfRule type="containsText" dxfId="104" priority="113" operator="containsText" text="OK">
      <formula>NOT(ISERROR(SEARCH("OK",G12)))</formula>
    </cfRule>
    <cfRule type="containsText" dxfId="103" priority="114" operator="containsText" text="ERROR">
      <formula>NOT(ISERROR(SEARCH("ERROR",G12)))</formula>
    </cfRule>
  </conditionalFormatting>
  <conditionalFormatting sqref="G17:R17">
    <cfRule type="containsText" dxfId="102" priority="115" operator="containsText" text="OK">
      <formula>NOT(ISERROR(SEARCH("OK",G17)))</formula>
    </cfRule>
    <cfRule type="containsText" dxfId="101" priority="116" operator="containsText" text="ERROR">
      <formula>NOT(ISERROR(SEARCH("ERROR",G17)))</formula>
    </cfRule>
  </conditionalFormatting>
  <conditionalFormatting sqref="G22:R22">
    <cfRule type="containsText" dxfId="100" priority="158" operator="containsText" text="ERROR">
      <formula>NOT(ISERROR(SEARCH("ERROR",G22)))</formula>
    </cfRule>
    <cfRule type="containsText" dxfId="99" priority="157" operator="containsText" text="OK">
      <formula>NOT(ISERROR(SEARCH("OK",G22)))</formula>
    </cfRule>
  </conditionalFormatting>
  <conditionalFormatting sqref="G24:R24">
    <cfRule type="containsText" dxfId="98" priority="117" operator="containsText" text="OK">
      <formula>NOT(ISERROR(SEARCH("OK",G24)))</formula>
    </cfRule>
    <cfRule type="containsText" dxfId="97" priority="118" operator="containsText" text="ERROR">
      <formula>NOT(ISERROR(SEARCH("ERROR",G24)))</formula>
    </cfRule>
  </conditionalFormatting>
  <conditionalFormatting sqref="G29:R29">
    <cfRule type="containsText" dxfId="96" priority="119" operator="containsText" text="OK">
      <formula>NOT(ISERROR(SEARCH("OK",G29)))</formula>
    </cfRule>
    <cfRule type="containsText" dxfId="95" priority="120" operator="containsText" text="ERROR">
      <formula>NOT(ISERROR(SEARCH("ERROR",G29)))</formula>
    </cfRule>
  </conditionalFormatting>
  <conditionalFormatting sqref="I26:N26">
    <cfRule type="containsText" dxfId="94" priority="140" operator="containsText" text="ERROR">
      <formula>NOT(ISERROR(SEARCH("ERROR",I26)))</formula>
    </cfRule>
    <cfRule type="containsText" dxfId="93" priority="139" operator="containsText" text="OK">
      <formula>NOT(ISERROR(SEARCH("OK",I26)))</formula>
    </cfRule>
  </conditionalFormatting>
  <conditionalFormatting sqref="I31:N31">
    <cfRule type="containsText" dxfId="92" priority="137" operator="containsText" text="OK">
      <formula>NOT(ISERROR(SEARCH("OK",I31)))</formula>
    </cfRule>
    <cfRule type="containsText" dxfId="91" priority="138" operator="containsText" text="ERROR">
      <formula>NOT(ISERROR(SEARCH("ERROR",I31)))</formula>
    </cfRule>
  </conditionalFormatting>
  <conditionalFormatting sqref="I43:N43">
    <cfRule type="containsText" dxfId="90" priority="121" operator="containsText" text="OK">
      <formula>NOT(ISERROR(SEARCH("OK",I43)))</formula>
    </cfRule>
    <cfRule type="containsText" dxfId="89" priority="122" operator="containsText" text="ERROR">
      <formula>NOT(ISERROR(SEARCH("ERROR",I43)))</formula>
    </cfRule>
  </conditionalFormatting>
  <conditionalFormatting sqref="I48:N48">
    <cfRule type="containsText" dxfId="88" priority="103" operator="containsText" text="OK">
      <formula>NOT(ISERROR(SEARCH("OK",I48)))</formula>
    </cfRule>
    <cfRule type="containsText" dxfId="87" priority="104" operator="containsText" text="ERROR">
      <formula>NOT(ISERROR(SEARCH("ERROR",I48)))</formula>
    </cfRule>
  </conditionalFormatting>
  <conditionalFormatting sqref="I55:N55">
    <cfRule type="containsText" dxfId="86" priority="94" operator="containsText" text="ERROR">
      <formula>NOT(ISERROR(SEARCH("ERROR",I55)))</formula>
    </cfRule>
    <cfRule type="containsText" dxfId="85" priority="93" operator="containsText" text="OK">
      <formula>NOT(ISERROR(SEARCH("OK",I55)))</formula>
    </cfRule>
  </conditionalFormatting>
  <conditionalFormatting sqref="I60:N60">
    <cfRule type="containsText" dxfId="84" priority="81" operator="containsText" text="OK">
      <formula>NOT(ISERROR(SEARCH("OK",I60)))</formula>
    </cfRule>
    <cfRule type="containsText" dxfId="83" priority="82" operator="containsText" text="ERROR">
      <formula>NOT(ISERROR(SEARCH("ERROR",I60)))</formula>
    </cfRule>
  </conditionalFormatting>
  <conditionalFormatting sqref="I14:R15">
    <cfRule type="containsText" dxfId="82" priority="172" operator="containsText" text="ERROR">
      <formula>NOT(ISERROR(SEARCH("ERROR",I14)))</formula>
    </cfRule>
    <cfRule type="containsText" dxfId="81" priority="171" operator="containsText" text="OK">
      <formula>NOT(ISERROR(SEARCH("OK",I14)))</formula>
    </cfRule>
  </conditionalFormatting>
  <conditionalFormatting sqref="I19:R20">
    <cfRule type="containsText" dxfId="80" priority="163" operator="containsText" text="OK">
      <formula>NOT(ISERROR(SEARCH("OK",I19)))</formula>
    </cfRule>
    <cfRule type="containsText" dxfId="79" priority="164" operator="containsText" text="ERROR">
      <formula>NOT(ISERROR(SEARCH("ERROR",I19)))</formula>
    </cfRule>
  </conditionalFormatting>
  <conditionalFormatting sqref="J73:O75">
    <cfRule type="containsText" dxfId="78" priority="67" operator="containsText" text="OK">
      <formula>NOT(ISERROR(SEARCH("OK",J73)))</formula>
    </cfRule>
    <cfRule type="containsText" dxfId="77" priority="68" operator="containsText" text="ERROR">
      <formula>NOT(ISERROR(SEARCH("ERROR",J73)))</formula>
    </cfRule>
  </conditionalFormatting>
  <conditionalFormatting sqref="J84:O84">
    <cfRule type="containsText" dxfId="76" priority="61" operator="containsText" text="OK">
      <formula>NOT(ISERROR(SEARCH("OK",J84)))</formula>
    </cfRule>
    <cfRule type="containsText" dxfId="75" priority="62" operator="containsText" text="ERROR">
      <formula>NOT(ISERROR(SEARCH("ERROR",J84)))</formula>
    </cfRule>
  </conditionalFormatting>
  <conditionalFormatting sqref="J87:O87">
    <cfRule type="containsText" dxfId="74" priority="57" operator="containsText" text="OK">
      <formula>NOT(ISERROR(SEARCH("OK",J87)))</formula>
    </cfRule>
    <cfRule type="containsText" dxfId="73" priority="58" operator="containsText" text="ERROR">
      <formula>NOT(ISERROR(SEARCH("ERROR",J87)))</formula>
    </cfRule>
  </conditionalFormatting>
  <conditionalFormatting sqref="J90:O90">
    <cfRule type="containsText" dxfId="72" priority="55" operator="containsText" text="OK">
      <formula>NOT(ISERROR(SEARCH("OK",J90)))</formula>
    </cfRule>
    <cfRule type="containsText" dxfId="71" priority="56" operator="containsText" text="ERROR">
      <formula>NOT(ISERROR(SEARCH("ERROR",J90)))</formula>
    </cfRule>
  </conditionalFormatting>
  <conditionalFormatting sqref="J93:O93">
    <cfRule type="containsText" dxfId="70" priority="53" operator="containsText" text="OK">
      <formula>NOT(ISERROR(SEARCH("OK",J93)))</formula>
    </cfRule>
    <cfRule type="containsText" dxfId="69" priority="54" operator="containsText" text="ERROR">
      <formula>NOT(ISERROR(SEARCH("ERROR",J93)))</formula>
    </cfRule>
  </conditionalFormatting>
  <conditionalFormatting sqref="L13 O13:R13">
    <cfRule type="containsText" dxfId="68" priority="174" operator="containsText" text="ERROR">
      <formula>NOT(ISERROR(SEARCH("ERROR",L13)))</formula>
    </cfRule>
    <cfRule type="containsText" dxfId="67" priority="173" operator="containsText" text="OK">
      <formula>NOT(ISERROR(SEARCH("OK",L13)))</formula>
    </cfRule>
  </conditionalFormatting>
  <conditionalFormatting sqref="L18 O18:R18">
    <cfRule type="containsText" dxfId="66" priority="166" operator="containsText" text="ERROR">
      <formula>NOT(ISERROR(SEARCH("ERROR",L18)))</formula>
    </cfRule>
    <cfRule type="containsText" dxfId="65" priority="165" operator="containsText" text="OK">
      <formula>NOT(ISERROR(SEARCH("OK",L18)))</formula>
    </cfRule>
  </conditionalFormatting>
  <conditionalFormatting sqref="L25">
    <cfRule type="containsText" dxfId="64" priority="162" operator="containsText" text="ERROR">
      <formula>NOT(ISERROR(SEARCH("ERROR",L25)))</formula>
    </cfRule>
    <cfRule type="containsText" dxfId="63" priority="161" operator="containsText" text="OK">
      <formula>NOT(ISERROR(SEARCH("OK",L25)))</formula>
    </cfRule>
  </conditionalFormatting>
  <conditionalFormatting sqref="L30">
    <cfRule type="containsText" dxfId="62" priority="156" operator="containsText" text="ERROR">
      <formula>NOT(ISERROR(SEARCH("ERROR",L30)))</formula>
    </cfRule>
    <cfRule type="containsText" dxfId="61" priority="155" operator="containsText" text="OK">
      <formula>NOT(ISERROR(SEARCH("OK",L30)))</formula>
    </cfRule>
  </conditionalFormatting>
  <conditionalFormatting sqref="L42">
    <cfRule type="containsText" dxfId="60" priority="128" operator="containsText" text="ERROR">
      <formula>NOT(ISERROR(SEARCH("ERROR",L42)))</formula>
    </cfRule>
    <cfRule type="containsText" dxfId="59" priority="127" operator="containsText" text="OK">
      <formula>NOT(ISERROR(SEARCH("OK",L42)))</formula>
    </cfRule>
  </conditionalFormatting>
  <conditionalFormatting sqref="L47">
    <cfRule type="containsText" dxfId="58" priority="109" operator="containsText" text="OK">
      <formula>NOT(ISERROR(SEARCH("OK",L47)))</formula>
    </cfRule>
    <cfRule type="containsText" dxfId="57" priority="110" operator="containsText" text="ERROR">
      <formula>NOT(ISERROR(SEARCH("ERROR",L47)))</formula>
    </cfRule>
  </conditionalFormatting>
  <conditionalFormatting sqref="L54:M54">
    <cfRule type="containsText" dxfId="56" priority="99" operator="containsText" text="OK">
      <formula>NOT(ISERROR(SEARCH("OK",L54)))</formula>
    </cfRule>
    <cfRule type="containsText" dxfId="55" priority="100" operator="containsText" text="ERROR">
      <formula>NOT(ISERROR(SEARCH("ERROR",L54)))</formula>
    </cfRule>
  </conditionalFormatting>
  <conditionalFormatting sqref="L59:M59">
    <cfRule type="containsText" dxfId="54" priority="87" operator="containsText" text="OK">
      <formula>NOT(ISERROR(SEARCH("OK",L59)))</formula>
    </cfRule>
    <cfRule type="containsText" dxfId="53" priority="88" operator="containsText" text="ERROR">
      <formula>NOT(ISERROR(SEARCH("ERROR",L59)))</formula>
    </cfRule>
  </conditionalFormatting>
  <conditionalFormatting sqref="M6">
    <cfRule type="containsText" dxfId="52" priority="1" operator="containsText" text="OK">
      <formula>NOT(ISERROR(SEARCH("OK",M6)))</formula>
    </cfRule>
    <cfRule type="containsText" dxfId="51" priority="3" operator="containsText" text="OK">
      <formula>NOT(ISERROR(SEARCH("OK",M6)))</formula>
    </cfRule>
    <cfRule type="containsText" dxfId="50" priority="2" operator="containsText" text="ERROR">
      <formula>NOT(ISERROR(SEARCH("ERROR",M6)))</formula>
    </cfRule>
    <cfRule type="containsText" dxfId="49" priority="4" operator="containsText" text="ERROR">
      <formula>NOT(ISERROR(SEARCH("ERROR",M6)))</formula>
    </cfRule>
  </conditionalFormatting>
  <conditionalFormatting sqref="M8">
    <cfRule type="containsText" dxfId="48" priority="14" operator="containsText" text="ERROR">
      <formula>NOT(ISERROR(SEARCH("ERROR",M8)))</formula>
    </cfRule>
    <cfRule type="containsText" dxfId="47" priority="13" operator="containsText" text="OK">
      <formula>NOT(ISERROR(SEARCH("OK",M8)))</formula>
    </cfRule>
  </conditionalFormatting>
  <conditionalFormatting sqref="O42:O43 I44:O44">
    <cfRule type="containsText" dxfId="46" priority="125" operator="containsText" text="OK">
      <formula>NOT(ISERROR(SEARCH("OK",I42)))</formula>
    </cfRule>
    <cfRule type="containsText" dxfId="45" priority="126" operator="containsText" text="ERROR">
      <formula>NOT(ISERROR(SEARCH("ERROR",I42)))</formula>
    </cfRule>
  </conditionalFormatting>
  <conditionalFormatting sqref="O47:O48 I49:O49">
    <cfRule type="containsText" dxfId="44" priority="108" operator="containsText" text="ERROR">
      <formula>NOT(ISERROR(SEARCH("ERROR",I47)))</formula>
    </cfRule>
    <cfRule type="containsText" dxfId="43" priority="107" operator="containsText" text="OK">
      <formula>NOT(ISERROR(SEARCH("OK",I47)))</formula>
    </cfRule>
  </conditionalFormatting>
  <conditionalFormatting sqref="O54:O55 I56:O56">
    <cfRule type="containsText" dxfId="42" priority="97" operator="containsText" text="OK">
      <formula>NOT(ISERROR(SEARCH("OK",I54)))</formula>
    </cfRule>
    <cfRule type="containsText" dxfId="41" priority="98" operator="containsText" text="ERROR">
      <formula>NOT(ISERROR(SEARCH("ERROR",I54)))</formula>
    </cfRule>
  </conditionalFormatting>
  <conditionalFormatting sqref="O59:O60 I61:O61">
    <cfRule type="containsText" dxfId="40" priority="85" operator="containsText" text="OK">
      <formula>NOT(ISERROR(SEARCH("OK",I59)))</formula>
    </cfRule>
    <cfRule type="containsText" dxfId="39" priority="86" operator="containsText" text="ERROR">
      <formula>NOT(ISERROR(SEARCH("ERROR",I59)))</formula>
    </cfRule>
  </conditionalFormatting>
  <conditionalFormatting sqref="O25:R26 I27:R27">
    <cfRule type="containsText" dxfId="38" priority="159" operator="containsText" text="OK">
      <formula>NOT(ISERROR(SEARCH("OK",I25)))</formula>
    </cfRule>
    <cfRule type="containsText" dxfId="37" priority="160" operator="containsText" text="ERROR">
      <formula>NOT(ISERROR(SEARCH("ERROR",I25)))</formula>
    </cfRule>
  </conditionalFormatting>
  <conditionalFormatting sqref="O30:R31 I32:R32">
    <cfRule type="containsText" dxfId="36" priority="153" operator="containsText" text="OK">
      <formula>NOT(ISERROR(SEARCH("OK",I30)))</formula>
    </cfRule>
    <cfRule type="containsText" dxfId="35" priority="154" operator="containsText" text="ERROR">
      <formula>NOT(ISERROR(SEARCH("ERROR",I30)))</formula>
    </cfRule>
  </conditionalFormatting>
  <conditionalFormatting sqref="AA35:AC35">
    <cfRule type="containsText" dxfId="34" priority="141" operator="containsText" text="OK">
      <formula>NOT(ISERROR(SEARCH("OK",AA35)))</formula>
    </cfRule>
    <cfRule type="containsText" dxfId="33" priority="142" operator="containsText" text="ERROR">
      <formula>NOT(ISERROR(SEARCH("ERROR",AA35)))</formula>
    </cfRule>
  </conditionalFormatting>
  <hyperlinks>
    <hyperlink ref="Z34" r:id="rId1" display="javascript:void(0)" xr:uid="{A670D0E4-E328-4CEF-8F73-1ED110090213}"/>
    <hyperlink ref="AA34" r:id="rId2" display="javascript:void(0)" xr:uid="{3D46AB1A-E4CB-4601-B965-4285483BEA31}"/>
    <hyperlink ref="AB34" r:id="rId3" display="javascript:void(0)" xr:uid="{28121B1E-621A-4E55-9836-3748CEB96DAF}"/>
    <hyperlink ref="AC34" r:id="rId4" display="javascript:void(0)" xr:uid="{5602CA05-9948-44BB-A1B4-8BDD424490C4}"/>
  </hyperlinks>
  <pageMargins left="0.7" right="0.7" top="0.75" bottom="0.75" header="0.3" footer="0.3"/>
  <drawing r:id="rId5"/>
  <legacyDrawing r:id="rId6"/>
  <mc:AlternateContent xmlns:mc="http://schemas.openxmlformats.org/markup-compatibility/2006">
    <mc:Choice Requires="x14">
      <controls>
        <mc:AlternateContent xmlns:mc="http://schemas.openxmlformats.org/markup-compatibility/2006">
          <mc:Choice Requires="x14">
            <control shapeId="7179" r:id="rId7" name="Drop Down 11">
              <controlPr defaultSize="0" autoLine="0" autoPict="0">
                <anchor moveWithCells="1">
                  <from>
                    <xdr:col>2</xdr:col>
                    <xdr:colOff>106680</xdr:colOff>
                    <xdr:row>3</xdr:row>
                    <xdr:rowOff>0</xdr:rowOff>
                  </from>
                  <to>
                    <xdr:col>4</xdr:col>
                    <xdr:colOff>0</xdr:colOff>
                    <xdr:row>3</xdr:row>
                    <xdr:rowOff>182880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1110-9F9D-44D0-BB47-00A2050DC2B5}">
  <dimension ref="A2:V350"/>
  <sheetViews>
    <sheetView showGridLines="0" zoomScaleNormal="100" workbookViewId="0">
      <selection activeCell="B2" sqref="B2"/>
    </sheetView>
  </sheetViews>
  <sheetFormatPr defaultColWidth="8.88671875" defaultRowHeight="14.7" customHeight="1" outlineLevelRow="1" x14ac:dyDescent="0.3"/>
  <cols>
    <col min="1" max="1" width="4.6640625" style="66" customWidth="1"/>
    <col min="2" max="2" width="14.6640625" style="66" customWidth="1"/>
    <col min="3" max="3" width="9" style="66" bestFit="1" customWidth="1"/>
    <col min="4" max="4" width="10.33203125" style="66" customWidth="1"/>
    <col min="5" max="7" width="9.6640625" style="66" customWidth="1"/>
    <col min="8" max="16" width="11" style="66" customWidth="1"/>
    <col min="17" max="18" width="9.6640625" style="66" customWidth="1"/>
    <col min="19" max="32" width="11.6640625" style="66" customWidth="1"/>
    <col min="33" max="16384" width="8.88671875" style="66"/>
  </cols>
  <sheetData>
    <row r="2" spans="1:22" ht="14.7" customHeight="1" x14ac:dyDescent="0.35">
      <c r="A2" s="66" t="s">
        <v>3</v>
      </c>
      <c r="B2" s="7" t="s">
        <v>365</v>
      </c>
      <c r="C2" s="7"/>
      <c r="D2" s="7"/>
      <c r="E2" s="7"/>
      <c r="F2" s="7"/>
      <c r="G2" s="45"/>
      <c r="H2" s="45"/>
      <c r="I2" s="45"/>
      <c r="J2" s="45"/>
      <c r="K2" s="45"/>
      <c r="L2" s="45"/>
      <c r="M2" s="45"/>
      <c r="N2" s="45"/>
      <c r="O2" s="45"/>
      <c r="P2" s="45"/>
    </row>
    <row r="3" spans="1:22" ht="14.7" customHeight="1" outlineLevel="1" x14ac:dyDescent="0.3"/>
    <row r="4" spans="1:22" ht="14.7" customHeight="1" outlineLevel="1" thickBot="1" x14ac:dyDescent="0.35">
      <c r="B4" s="260" t="s">
        <v>6</v>
      </c>
      <c r="F4" s="264" t="s">
        <v>79</v>
      </c>
      <c r="H4" s="266" t="s">
        <v>123</v>
      </c>
      <c r="I4" s="261">
        <v>2023</v>
      </c>
      <c r="J4" s="262">
        <f>I4+1</f>
        <v>2024</v>
      </c>
      <c r="K4" s="336">
        <f t="shared" ref="K4:P4" si="0">J4+1</f>
        <v>2025</v>
      </c>
      <c r="L4" s="262">
        <f t="shared" si="0"/>
        <v>2026</v>
      </c>
      <c r="M4" s="262">
        <f t="shared" si="0"/>
        <v>2027</v>
      </c>
      <c r="N4" s="262">
        <f t="shared" si="0"/>
        <v>2028</v>
      </c>
      <c r="O4" s="262">
        <f t="shared" si="0"/>
        <v>2029</v>
      </c>
      <c r="P4" s="262">
        <f t="shared" si="0"/>
        <v>2030</v>
      </c>
    </row>
    <row r="5" spans="1:22" ht="14.7" customHeight="1" outlineLevel="1" thickBot="1" x14ac:dyDescent="0.35">
      <c r="F5" s="264" t="s">
        <v>80</v>
      </c>
    </row>
    <row r="6" spans="1:22" ht="14.7" customHeight="1" outlineLevel="1" thickBot="1" x14ac:dyDescent="0.35">
      <c r="B6" s="134" t="s">
        <v>366</v>
      </c>
      <c r="F6" s="446">
        <f>(P6/I6)^(1/7)-1</f>
        <v>6.3654440587199712E-2</v>
      </c>
      <c r="H6" s="232">
        <f>SUM(H8,H20,H22)</f>
        <v>278782.40000000002</v>
      </c>
      <c r="I6" s="233">
        <f>SUM(I8,I20,I22)</f>
        <v>298855</v>
      </c>
      <c r="J6" s="234">
        <f t="shared" ref="J6:P6" si="1">SUM(J8,J20,J22)</f>
        <v>317199.3373999999</v>
      </c>
      <c r="K6" s="234">
        <f t="shared" si="1"/>
        <v>338380.58263466659</v>
      </c>
      <c r="L6" s="234">
        <f t="shared" si="1"/>
        <v>361653.84409037919</v>
      </c>
      <c r="M6" s="234">
        <f t="shared" si="1"/>
        <v>386163.9507125839</v>
      </c>
      <c r="N6" s="234">
        <f t="shared" si="1"/>
        <v>411257.67785354139</v>
      </c>
      <c r="O6" s="234">
        <f t="shared" si="1"/>
        <v>436223.1593326811</v>
      </c>
      <c r="P6" s="235">
        <f t="shared" si="1"/>
        <v>460324.8592197026</v>
      </c>
    </row>
    <row r="7" spans="1:22" ht="14.7" customHeight="1" outlineLevel="1" x14ac:dyDescent="0.3">
      <c r="F7" s="447">
        <f>(I6*(1+F6)^7)-P6</f>
        <v>0</v>
      </c>
      <c r="H7" s="428"/>
      <c r="I7" s="428"/>
      <c r="J7" s="428"/>
      <c r="K7" s="428"/>
      <c r="L7" s="428"/>
      <c r="M7" s="428"/>
      <c r="N7" s="428"/>
      <c r="O7" s="428"/>
      <c r="P7" s="428"/>
    </row>
    <row r="8" spans="1:22" ht="14.7" customHeight="1" outlineLevel="1" x14ac:dyDescent="0.3">
      <c r="B8" s="134" t="s">
        <v>367</v>
      </c>
      <c r="H8" s="236">
        <f t="shared" ref="H8" si="2">SUM(H10,H15)</f>
        <v>263142.59999999998</v>
      </c>
      <c r="I8" s="220">
        <f>SUM(I10,I15)</f>
        <v>282418.19999999995</v>
      </c>
      <c r="J8" s="220">
        <f t="shared" ref="J8:P8" si="3">SUM(J10,J15)</f>
        <v>300844.81979999994</v>
      </c>
      <c r="K8" s="220">
        <f t="shared" si="3"/>
        <v>322052.82796399994</v>
      </c>
      <c r="L8" s="220">
        <f t="shared" si="3"/>
        <v>345298.10349638411</v>
      </c>
      <c r="M8" s="220">
        <f t="shared" si="3"/>
        <v>369725.62636314065</v>
      </c>
      <c r="N8" s="220">
        <f t="shared" si="3"/>
        <v>394681.71654436737</v>
      </c>
      <c r="O8" s="220">
        <f t="shared" si="3"/>
        <v>419453.44647157902</v>
      </c>
      <c r="P8" s="237">
        <f t="shared" si="3"/>
        <v>443303.60066568397</v>
      </c>
      <c r="R8" s="506" t="s">
        <v>551</v>
      </c>
      <c r="S8" s="507"/>
      <c r="T8" s="507"/>
      <c r="U8" s="507"/>
      <c r="V8" s="508"/>
    </row>
    <row r="9" spans="1:22" ht="14.7" customHeight="1" outlineLevel="1" x14ac:dyDescent="0.3">
      <c r="B9" s="427" t="s">
        <v>368</v>
      </c>
      <c r="I9" s="428">
        <f>I8/H8-1</f>
        <v>7.3251537379352305E-2</v>
      </c>
      <c r="J9" s="428">
        <f>J8/I8-1</f>
        <v>6.5245865174411444E-2</v>
      </c>
      <c r="K9" s="428">
        <f>K8/J8-1</f>
        <v>7.0494842417758719E-2</v>
      </c>
      <c r="L9" s="428">
        <f>L8/K8-1</f>
        <v>7.2178454942747994E-2</v>
      </c>
      <c r="M9" s="428">
        <f>M8/L8-1</f>
        <v>7.0743287088492091E-2</v>
      </c>
      <c r="N9" s="428">
        <f t="shared" ref="N9:P9" si="4">N8/M8-1</f>
        <v>6.7498946250252878E-2</v>
      </c>
      <c r="O9" s="428">
        <f t="shared" si="4"/>
        <v>6.2763814204773283E-2</v>
      </c>
      <c r="P9" s="428">
        <f t="shared" si="4"/>
        <v>5.6860074448621623E-2</v>
      </c>
      <c r="R9" s="509"/>
      <c r="S9" s="510"/>
      <c r="T9" s="510"/>
      <c r="U9" s="510"/>
      <c r="V9" s="511"/>
    </row>
    <row r="10" spans="1:22" ht="14.7" customHeight="1" outlineLevel="1" x14ac:dyDescent="0.3">
      <c r="B10" s="257" t="s">
        <v>369</v>
      </c>
      <c r="H10" s="238">
        <f>SUM(H12:H13)</f>
        <v>164582.79999999999</v>
      </c>
      <c r="I10" s="238">
        <f>SUM(I12:I13)</f>
        <v>181727.8</v>
      </c>
      <c r="J10" s="253">
        <f>SUM(J12:J13)</f>
        <v>203627.74619999997</v>
      </c>
      <c r="K10" s="253">
        <f t="shared" ref="K10:P10" si="5">SUM(K12:K13)</f>
        <v>227052.68478866664</v>
      </c>
      <c r="L10" s="253">
        <f t="shared" si="5"/>
        <v>251418.77748951924</v>
      </c>
      <c r="M10" s="253">
        <f t="shared" si="5"/>
        <v>276190.47282885842</v>
      </c>
      <c r="N10" s="253">
        <f t="shared" si="5"/>
        <v>300729.39233355585</v>
      </c>
      <c r="O10" s="253">
        <f t="shared" si="5"/>
        <v>324319.08014206862</v>
      </c>
      <c r="P10" s="253">
        <f t="shared" si="5"/>
        <v>346200.09137220937</v>
      </c>
      <c r="R10" s="509"/>
      <c r="S10" s="510"/>
      <c r="T10" s="510"/>
      <c r="U10" s="510"/>
      <c r="V10" s="511"/>
    </row>
    <row r="11" spans="1:22" ht="14.7" customHeight="1" outlineLevel="1" x14ac:dyDescent="0.3">
      <c r="B11" s="258"/>
      <c r="H11" s="428"/>
      <c r="I11" s="428"/>
      <c r="J11" s="428"/>
      <c r="K11" s="428"/>
      <c r="L11" s="428"/>
      <c r="M11" s="428"/>
      <c r="N11" s="428"/>
      <c r="O11" s="428"/>
      <c r="P11" s="428"/>
      <c r="R11" s="509"/>
      <c r="S11" s="510"/>
      <c r="T11" s="510"/>
      <c r="U11" s="510"/>
      <c r="V11" s="511"/>
    </row>
    <row r="12" spans="1:22" ht="14.7" customHeight="1" outlineLevel="1" x14ac:dyDescent="0.3">
      <c r="B12" s="259" t="s">
        <v>129</v>
      </c>
      <c r="H12" s="29">
        <v>74491.399999999994</v>
      </c>
      <c r="I12" s="29">
        <v>78553.399999999994</v>
      </c>
      <c r="J12" s="254">
        <f t="shared" ref="J12:P13" si="6">(1+J25)*I12</f>
        <v>82088.302999999985</v>
      </c>
      <c r="K12" s="254">
        <f t="shared" si="6"/>
        <v>85864.364937999984</v>
      </c>
      <c r="L12" s="254">
        <f t="shared" si="6"/>
        <v>89711.088487222383</v>
      </c>
      <c r="M12" s="254">
        <f t="shared" si="6"/>
        <v>93622.491945265283</v>
      </c>
      <c r="N12" s="254">
        <f t="shared" si="6"/>
        <v>97592.085603744534</v>
      </c>
      <c r="O12" s="254">
        <f t="shared" si="6"/>
        <v>101612.8795306188</v>
      </c>
      <c r="P12" s="254">
        <f t="shared" si="6"/>
        <v>105677.39471184355</v>
      </c>
      <c r="R12" s="509"/>
      <c r="S12" s="510"/>
      <c r="T12" s="510"/>
      <c r="U12" s="510"/>
      <c r="V12" s="511"/>
    </row>
    <row r="13" spans="1:22" ht="14.7" customHeight="1" outlineLevel="1" x14ac:dyDescent="0.3">
      <c r="B13" s="259" t="s">
        <v>133</v>
      </c>
      <c r="H13" s="206">
        <v>90091.4</v>
      </c>
      <c r="I13" s="206">
        <v>103174.39999999999</v>
      </c>
      <c r="J13" s="268">
        <f t="shared" si="6"/>
        <v>121539.44319999998</v>
      </c>
      <c r="K13" s="268">
        <f t="shared" si="6"/>
        <v>141188.31985066665</v>
      </c>
      <c r="L13" s="268">
        <f t="shared" si="6"/>
        <v>161707.68900229686</v>
      </c>
      <c r="M13" s="268">
        <f t="shared" si="6"/>
        <v>182567.98088359315</v>
      </c>
      <c r="N13" s="268">
        <f t="shared" si="6"/>
        <v>203137.3067298113</v>
      </c>
      <c r="O13" s="268">
        <f t="shared" si="6"/>
        <v>222706.20061144981</v>
      </c>
      <c r="P13" s="268">
        <f t="shared" si="6"/>
        <v>240522.69666036582</v>
      </c>
      <c r="R13" s="512"/>
      <c r="S13" s="513"/>
      <c r="T13" s="513"/>
      <c r="U13" s="513"/>
      <c r="V13" s="514"/>
    </row>
    <row r="14" spans="1:22" ht="14.7" customHeight="1" outlineLevel="1" x14ac:dyDescent="0.3">
      <c r="B14" s="258"/>
      <c r="J14" s="255"/>
      <c r="K14" s="255"/>
      <c r="L14" s="255"/>
      <c r="M14" s="255"/>
      <c r="N14" s="255"/>
      <c r="O14" s="255"/>
      <c r="P14" s="255"/>
    </row>
    <row r="15" spans="1:22" ht="14.7" customHeight="1" outlineLevel="1" x14ac:dyDescent="0.3">
      <c r="B15" s="257" t="s">
        <v>370</v>
      </c>
      <c r="H15" s="238">
        <f t="shared" ref="H15" si="7">SUM(H17:H18)</f>
        <v>98559.799999999988</v>
      </c>
      <c r="I15" s="238">
        <f>SUM(I17:I18)</f>
        <v>100690.4</v>
      </c>
      <c r="J15" s="253">
        <f t="shared" ref="J15" si="8">SUM(J17:J18)</f>
        <v>97217.073600000003</v>
      </c>
      <c r="K15" s="253">
        <f t="shared" ref="K15:P15" si="9">SUM(K17:K18)</f>
        <v>95000.143175333316</v>
      </c>
      <c r="L15" s="253">
        <f t="shared" si="9"/>
        <v>93879.326006864881</v>
      </c>
      <c r="M15" s="253">
        <f t="shared" si="9"/>
        <v>93535.153534282232</v>
      </c>
      <c r="N15" s="253">
        <f t="shared" si="9"/>
        <v>93952.324210811523</v>
      </c>
      <c r="O15" s="253">
        <f t="shared" si="9"/>
        <v>95134.366329510391</v>
      </c>
      <c r="P15" s="253">
        <f t="shared" si="9"/>
        <v>97103.509293474592</v>
      </c>
    </row>
    <row r="16" spans="1:22" ht="14.7" customHeight="1" outlineLevel="1" x14ac:dyDescent="0.3">
      <c r="B16" s="258"/>
      <c r="H16" s="38"/>
      <c r="I16" s="38"/>
      <c r="J16" s="254"/>
      <c r="K16" s="254"/>
      <c r="L16" s="254"/>
      <c r="M16" s="254"/>
      <c r="N16" s="254"/>
      <c r="O16" s="254"/>
      <c r="P16" s="254"/>
    </row>
    <row r="17" spans="2:16" ht="14.7" customHeight="1" outlineLevel="1" x14ac:dyDescent="0.3">
      <c r="B17" s="259" t="s">
        <v>135</v>
      </c>
      <c r="H17" s="29">
        <v>83902.399999999994</v>
      </c>
      <c r="I17" s="29">
        <v>86546.2</v>
      </c>
      <c r="J17" s="254">
        <f t="shared" ref="J17:P18" si="10">(1+J27)*I17</f>
        <v>83949.813999999998</v>
      </c>
      <c r="K17" s="254">
        <f t="shared" si="10"/>
        <v>82130.901363333323</v>
      </c>
      <c r="L17" s="254">
        <f t="shared" si="10"/>
        <v>81035.822678488883</v>
      </c>
      <c r="M17" s="254">
        <f t="shared" si="10"/>
        <v>80630.643565096441</v>
      </c>
      <c r="N17" s="254">
        <f t="shared" si="10"/>
        <v>80899.412376980108</v>
      </c>
      <c r="O17" s="254">
        <f t="shared" si="10"/>
        <v>81843.238854711541</v>
      </c>
      <c r="P17" s="254">
        <f t="shared" si="10"/>
        <v>83480.103631805774</v>
      </c>
    </row>
    <row r="18" spans="2:16" ht="14.7" customHeight="1" outlineLevel="1" x14ac:dyDescent="0.3">
      <c r="B18" s="259" t="s">
        <v>136</v>
      </c>
      <c r="H18" s="206">
        <v>14657.4</v>
      </c>
      <c r="I18" s="206">
        <v>14144.2</v>
      </c>
      <c r="J18" s="268">
        <f t="shared" si="10"/>
        <v>13267.259599999999</v>
      </c>
      <c r="K18" s="268">
        <f t="shared" si="10"/>
        <v>12869.241811999998</v>
      </c>
      <c r="L18" s="268">
        <f t="shared" si="10"/>
        <v>12843.503328375999</v>
      </c>
      <c r="M18" s="268">
        <f t="shared" si="10"/>
        <v>12904.509969185785</v>
      </c>
      <c r="N18" s="268">
        <f t="shared" si="10"/>
        <v>13052.911833831422</v>
      </c>
      <c r="O18" s="268">
        <f t="shared" si="10"/>
        <v>13291.127474798846</v>
      </c>
      <c r="P18" s="268">
        <f t="shared" si="10"/>
        <v>13623.405661668816</v>
      </c>
    </row>
    <row r="19" spans="2:16" ht="14.7" customHeight="1" outlineLevel="1" x14ac:dyDescent="0.3">
      <c r="J19" s="255"/>
      <c r="K19" s="255"/>
      <c r="L19" s="255"/>
      <c r="M19" s="255"/>
      <c r="N19" s="255"/>
      <c r="O19" s="255"/>
      <c r="P19" s="255"/>
    </row>
    <row r="20" spans="2:16" ht="14.7" customHeight="1" outlineLevel="1" x14ac:dyDescent="0.3">
      <c r="B20" s="134" t="s">
        <v>371</v>
      </c>
      <c r="H20" s="241">
        <v>2654.4</v>
      </c>
      <c r="I20" s="241">
        <v>2906.4</v>
      </c>
      <c r="J20" s="253">
        <f t="shared" ref="J20:P20" si="11">(1+J29)*I20</f>
        <v>2851.1784000000002</v>
      </c>
      <c r="K20" s="253">
        <f t="shared" si="11"/>
        <v>2813.1626880000003</v>
      </c>
      <c r="L20" s="253">
        <f t="shared" si="11"/>
        <v>2791.595107392</v>
      </c>
      <c r="M20" s="253">
        <f t="shared" si="11"/>
        <v>2786.0119171772162</v>
      </c>
      <c r="N20" s="253">
        <f t="shared" si="11"/>
        <v>2796.2272942068662</v>
      </c>
      <c r="O20" s="253">
        <f t="shared" si="11"/>
        <v>2822.3254156194639</v>
      </c>
      <c r="P20" s="253">
        <f t="shared" si="11"/>
        <v>2864.6602968537554</v>
      </c>
    </row>
    <row r="21" spans="2:16" ht="14.7" customHeight="1" outlineLevel="1" x14ac:dyDescent="0.3">
      <c r="B21" s="134"/>
      <c r="H21" s="29"/>
      <c r="I21" s="29"/>
      <c r="J21" s="254"/>
      <c r="K21" s="254"/>
      <c r="L21" s="254"/>
      <c r="M21" s="254"/>
      <c r="N21" s="254"/>
      <c r="O21" s="254"/>
      <c r="P21" s="254"/>
    </row>
    <row r="22" spans="2:16" ht="14.7" customHeight="1" outlineLevel="1" x14ac:dyDescent="0.3">
      <c r="B22" s="134" t="s">
        <v>372</v>
      </c>
      <c r="H22" s="241">
        <v>12985.4</v>
      </c>
      <c r="I22" s="241">
        <v>13530.4</v>
      </c>
      <c r="J22" s="253">
        <f t="shared" ref="J22:P22" si="12">(1+J30)*I22</f>
        <v>13503.3392</v>
      </c>
      <c r="K22" s="253">
        <f t="shared" si="12"/>
        <v>13514.591982666665</v>
      </c>
      <c r="L22" s="253">
        <f t="shared" si="12"/>
        <v>13564.145486603111</v>
      </c>
      <c r="M22" s="253">
        <f t="shared" si="12"/>
        <v>13652.31243226603</v>
      </c>
      <c r="N22" s="253">
        <f t="shared" si="12"/>
        <v>13779.73401496718</v>
      </c>
      <c r="O22" s="253">
        <f t="shared" si="12"/>
        <v>13947.387445482615</v>
      </c>
      <c r="P22" s="253">
        <f t="shared" si="12"/>
        <v>14156.598257164853</v>
      </c>
    </row>
    <row r="23" spans="2:16" ht="14.7" customHeight="1" outlineLevel="1" x14ac:dyDescent="0.3">
      <c r="H23" s="38"/>
      <c r="I23" s="38"/>
      <c r="J23" s="38"/>
      <c r="K23" s="38"/>
      <c r="L23" s="38"/>
      <c r="M23" s="38"/>
      <c r="N23" s="38"/>
      <c r="O23" s="38"/>
      <c r="P23" s="38"/>
    </row>
    <row r="24" spans="2:16" ht="14.7" customHeight="1" outlineLevel="1" x14ac:dyDescent="0.3">
      <c r="B24" s="256" t="s">
        <v>373</v>
      </c>
      <c r="H24" s="38"/>
      <c r="I24" s="38"/>
      <c r="J24" s="38"/>
      <c r="K24" s="38"/>
      <c r="L24" s="38"/>
      <c r="M24" s="38"/>
      <c r="N24" s="38"/>
      <c r="O24" s="38"/>
      <c r="P24" s="38"/>
    </row>
    <row r="25" spans="2:16" ht="14.7" customHeight="1" outlineLevel="1" x14ac:dyDescent="0.3">
      <c r="B25" s="13" t="s">
        <v>129</v>
      </c>
      <c r="H25" s="242"/>
      <c r="I25" s="243"/>
      <c r="J25" s="244">
        <f>'FS Drivers and Inputs'!I12</f>
        <v>4.4999999999999998E-2</v>
      </c>
      <c r="K25" s="244">
        <f>'FS Drivers and Inputs'!J12</f>
        <v>4.5999999999999999E-2</v>
      </c>
      <c r="L25" s="244">
        <f>'FS Drivers and Inputs'!K12</f>
        <v>4.48E-2</v>
      </c>
      <c r="M25" s="244">
        <f>'FS Drivers and Inputs'!L12</f>
        <v>4.36E-2</v>
      </c>
      <c r="N25" s="244">
        <f>'FS Drivers and Inputs'!M12</f>
        <v>4.24E-2</v>
      </c>
      <c r="O25" s="244">
        <f>'FS Drivers and Inputs'!N12</f>
        <v>4.1200000000000001E-2</v>
      </c>
      <c r="P25" s="245">
        <f>'FS Drivers and Inputs'!O12</f>
        <v>0.04</v>
      </c>
    </row>
    <row r="26" spans="2:16" ht="14.7" customHeight="1" outlineLevel="1" x14ac:dyDescent="0.3">
      <c r="B26" s="13" t="s">
        <v>133</v>
      </c>
      <c r="H26" s="246"/>
      <c r="I26" s="247"/>
      <c r="J26" s="158">
        <f>'FS Drivers and Inputs'!I17</f>
        <v>0.17799999999999999</v>
      </c>
      <c r="K26" s="158">
        <f>'FS Drivers and Inputs'!J17</f>
        <v>0.16166666666666665</v>
      </c>
      <c r="L26" s="158">
        <f>'FS Drivers and Inputs'!K17</f>
        <v>0.14533333333333331</v>
      </c>
      <c r="M26" s="158">
        <f>'FS Drivers and Inputs'!L17</f>
        <v>0.12899999999999998</v>
      </c>
      <c r="N26" s="158">
        <f>'FS Drivers and Inputs'!M17</f>
        <v>0.11266666666666664</v>
      </c>
      <c r="O26" s="158">
        <f>'FS Drivers and Inputs'!N17</f>
        <v>9.6333333333333299E-2</v>
      </c>
      <c r="P26" s="248">
        <f>'FS Drivers and Inputs'!O17</f>
        <v>0.08</v>
      </c>
    </row>
    <row r="27" spans="2:16" ht="14.7" customHeight="1" outlineLevel="1" x14ac:dyDescent="0.3">
      <c r="B27" s="13" t="s">
        <v>135</v>
      </c>
      <c r="H27" s="246"/>
      <c r="I27" s="247"/>
      <c r="J27" s="158">
        <f>'FS Drivers and Inputs'!I24</f>
        <v>-0.03</v>
      </c>
      <c r="K27" s="158">
        <f>'FS Drivers and Inputs'!J24</f>
        <v>-2.1666666666666667E-2</v>
      </c>
      <c r="L27" s="158">
        <f>'FS Drivers and Inputs'!K24</f>
        <v>-1.3333333333333334E-2</v>
      </c>
      <c r="M27" s="158">
        <f>'FS Drivers and Inputs'!L24</f>
        <v>-5.000000000000001E-3</v>
      </c>
      <c r="N27" s="158">
        <f>'FS Drivers and Inputs'!M24</f>
        <v>3.3333333333333322E-3</v>
      </c>
      <c r="O27" s="158">
        <f>'FS Drivers and Inputs'!N24</f>
        <v>1.1666666666666665E-2</v>
      </c>
      <c r="P27" s="248">
        <f>'FS Drivers and Inputs'!O24</f>
        <v>0.02</v>
      </c>
    </row>
    <row r="28" spans="2:16" ht="14.7" customHeight="1" outlineLevel="1" x14ac:dyDescent="0.3">
      <c r="B28" s="13" t="s">
        <v>136</v>
      </c>
      <c r="H28" s="246"/>
      <c r="I28" s="247"/>
      <c r="J28" s="158">
        <f>'FS Drivers and Inputs'!I29</f>
        <v>-6.2E-2</v>
      </c>
      <c r="K28" s="158">
        <f>'FS Drivers and Inputs'!J29</f>
        <v>-0.03</v>
      </c>
      <c r="L28" s="158">
        <f>'FS Drivers and Inputs'!K29</f>
        <v>-2E-3</v>
      </c>
      <c r="M28" s="158">
        <f>'FS Drivers and Inputs'!L29</f>
        <v>4.7500000000000007E-3</v>
      </c>
      <c r="N28" s="158">
        <f>'FS Drivers and Inputs'!M29</f>
        <v>1.1500000000000002E-2</v>
      </c>
      <c r="O28" s="158">
        <f>'FS Drivers and Inputs'!N29</f>
        <v>1.8250000000000002E-2</v>
      </c>
      <c r="P28" s="248">
        <f>'FS Drivers and Inputs'!O29</f>
        <v>2.5000000000000001E-2</v>
      </c>
    </row>
    <row r="29" spans="2:16" ht="14.7" customHeight="1" outlineLevel="1" x14ac:dyDescent="0.3">
      <c r="B29" s="13" t="s">
        <v>371</v>
      </c>
      <c r="H29" s="246"/>
      <c r="I29" s="247"/>
      <c r="J29" s="158">
        <f>'FS Drivers and Inputs'!I35</f>
        <v>-1.9E-2</v>
      </c>
      <c r="K29" s="158">
        <f>'FS Drivers and Inputs'!J35</f>
        <v>-1.3333333333333332E-2</v>
      </c>
      <c r="L29" s="158">
        <f>'FS Drivers and Inputs'!K35</f>
        <v>-7.6666666666666654E-3</v>
      </c>
      <c r="M29" s="158">
        <f>'FS Drivers and Inputs'!L35</f>
        <v>-1.9999999999999983E-3</v>
      </c>
      <c r="N29" s="158">
        <f>'FS Drivers and Inputs'!M35</f>
        <v>3.6666666666666688E-3</v>
      </c>
      <c r="O29" s="158">
        <f>'FS Drivers and Inputs'!N35</f>
        <v>9.3333333333333358E-3</v>
      </c>
      <c r="P29" s="248">
        <f>'FS Drivers and Inputs'!O35</f>
        <v>1.4999999999999999E-2</v>
      </c>
    </row>
    <row r="30" spans="2:16" ht="14.7" customHeight="1" outlineLevel="1" x14ac:dyDescent="0.3">
      <c r="B30" s="13" t="s">
        <v>372</v>
      </c>
      <c r="H30" s="249"/>
      <c r="I30" s="250"/>
      <c r="J30" s="251">
        <f>'FS Drivers and Inputs'!I37</f>
        <v>-2E-3</v>
      </c>
      <c r="K30" s="251">
        <f>'FS Drivers and Inputs'!J37</f>
        <v>8.333333333333335E-4</v>
      </c>
      <c r="L30" s="251">
        <f>'FS Drivers and Inputs'!K37</f>
        <v>3.666666666666667E-3</v>
      </c>
      <c r="M30" s="251">
        <f>'FS Drivers and Inputs'!L37</f>
        <v>6.5000000000000006E-3</v>
      </c>
      <c r="N30" s="251">
        <f>'FS Drivers and Inputs'!M37</f>
        <v>9.3333333333333341E-3</v>
      </c>
      <c r="O30" s="251">
        <f>'FS Drivers and Inputs'!N37</f>
        <v>1.2166666666666668E-2</v>
      </c>
      <c r="P30" s="252">
        <f>'FS Drivers and Inputs'!O37</f>
        <v>1.4999999999999999E-2</v>
      </c>
    </row>
    <row r="31" spans="2:16" ht="14.7" customHeight="1" outlineLevel="1" x14ac:dyDescent="0.3"/>
    <row r="33" spans="1:18" ht="14.7" customHeight="1" x14ac:dyDescent="0.35">
      <c r="A33" s="66" t="s">
        <v>3</v>
      </c>
      <c r="B33" s="7" t="s">
        <v>374</v>
      </c>
      <c r="C33" s="7"/>
      <c r="D33" s="7"/>
      <c r="E33" s="7"/>
      <c r="F33" s="7"/>
      <c r="G33" s="45"/>
      <c r="H33" s="45"/>
      <c r="I33" s="45"/>
      <c r="J33" s="45"/>
      <c r="K33" s="45"/>
      <c r="L33" s="45"/>
      <c r="M33" s="45"/>
      <c r="N33" s="45"/>
      <c r="O33" s="45"/>
      <c r="P33" s="45"/>
    </row>
    <row r="34" spans="1:18" ht="14.7" customHeight="1" outlineLevel="1" x14ac:dyDescent="0.3"/>
    <row r="35" spans="1:18" ht="14.7" customHeight="1" outlineLevel="1" thickBot="1" x14ac:dyDescent="0.35">
      <c r="B35" s="260" t="s">
        <v>6</v>
      </c>
      <c r="H35" s="266">
        <v>2022</v>
      </c>
      <c r="I35" s="261">
        <v>2023</v>
      </c>
      <c r="J35" s="262">
        <f t="shared" ref="J35:P35" si="13">J4</f>
        <v>2024</v>
      </c>
      <c r="K35" s="336">
        <f t="shared" si="13"/>
        <v>2025</v>
      </c>
      <c r="L35" s="262">
        <f t="shared" si="13"/>
        <v>2026</v>
      </c>
      <c r="M35" s="262">
        <f t="shared" si="13"/>
        <v>2027</v>
      </c>
      <c r="N35" s="262">
        <f t="shared" si="13"/>
        <v>2028</v>
      </c>
      <c r="O35" s="262">
        <f t="shared" si="13"/>
        <v>2029</v>
      </c>
      <c r="P35" s="262">
        <f t="shared" si="13"/>
        <v>2030</v>
      </c>
    </row>
    <row r="36" spans="1:18" ht="14.7" customHeight="1" outlineLevel="1" x14ac:dyDescent="0.3"/>
    <row r="37" spans="1:18" ht="14.7" customHeight="1" outlineLevel="1" x14ac:dyDescent="0.3">
      <c r="B37" s="66" t="s">
        <v>79</v>
      </c>
      <c r="H37" s="263">
        <f t="shared" ref="H37:P37" si="14">H6</f>
        <v>278782.40000000002</v>
      </c>
      <c r="I37" s="263">
        <f t="shared" si="14"/>
        <v>298855</v>
      </c>
      <c r="J37" s="263">
        <f t="shared" si="14"/>
        <v>317199.3373999999</v>
      </c>
      <c r="K37" s="263">
        <f t="shared" si="14"/>
        <v>338380.58263466659</v>
      </c>
      <c r="L37" s="263">
        <f t="shared" si="14"/>
        <v>361653.84409037919</v>
      </c>
      <c r="M37" s="263">
        <f t="shared" si="14"/>
        <v>386163.9507125839</v>
      </c>
      <c r="N37" s="263">
        <f t="shared" si="14"/>
        <v>411257.67785354139</v>
      </c>
      <c r="O37" s="263">
        <f t="shared" si="14"/>
        <v>436223.1593326811</v>
      </c>
      <c r="P37" s="263">
        <f t="shared" si="14"/>
        <v>460324.8592197026</v>
      </c>
    </row>
    <row r="38" spans="1:18" ht="14.7" customHeight="1" outlineLevel="1" x14ac:dyDescent="0.3">
      <c r="B38" s="66" t="s">
        <v>375</v>
      </c>
      <c r="H38" s="239">
        <f>-'FS Drivers and Inputs'!G41*'FS Model'!H37</f>
        <v>-217215.53250521017</v>
      </c>
      <c r="I38" s="239">
        <f>-'FS Drivers and Inputs'!H41*'FS Model'!I37</f>
        <v>-231618.99999999997</v>
      </c>
      <c r="J38" s="239">
        <f>-'FS Drivers and Inputs'!I41*'FS Model'!J37</f>
        <v>-243257.74073813821</v>
      </c>
      <c r="K38" s="239">
        <f>-'FS Drivers and Inputs'!J41*'FS Model'!K37</f>
        <v>-257846.00396761595</v>
      </c>
      <c r="L38" s="239">
        <f>-'FS Drivers and Inputs'!K41*'FS Model'!L37</f>
        <v>-274133.61382050742</v>
      </c>
      <c r="M38" s="239">
        <f>-'FS Drivers and Inputs'!L41*'FS Model'!M37</f>
        <v>-291167.61883728829</v>
      </c>
      <c r="N38" s="239">
        <f>-'FS Drivers and Inputs'!M41*'FS Model'!N37</f>
        <v>-308443.25839015603</v>
      </c>
      <c r="O38" s="239">
        <f>-'FS Drivers and Inputs'!N41*'FS Model'!O37</f>
        <v>-325422.4768621801</v>
      </c>
      <c r="P38" s="239">
        <f>-'FS Drivers and Inputs'!O41*'FS Model'!P37</f>
        <v>-341561.04554101935</v>
      </c>
      <c r="R38" s="452"/>
    </row>
    <row r="39" spans="1:18" ht="14.7" customHeight="1" outlineLevel="1" x14ac:dyDescent="0.3">
      <c r="B39" s="138" t="s">
        <v>376</v>
      </c>
      <c r="H39" s="263">
        <f t="shared" ref="H39:P39" si="15">SUM(H37:H38)</f>
        <v>61566.867494789854</v>
      </c>
      <c r="I39" s="263">
        <f t="shared" si="15"/>
        <v>67236.000000000029</v>
      </c>
      <c r="J39" s="263">
        <f t="shared" si="15"/>
        <v>73941.596661861695</v>
      </c>
      <c r="K39" s="263">
        <f t="shared" si="15"/>
        <v>80534.578667050635</v>
      </c>
      <c r="L39" s="263">
        <f t="shared" si="15"/>
        <v>87520.230269871769</v>
      </c>
      <c r="M39" s="263">
        <f t="shared" si="15"/>
        <v>94996.331875295611</v>
      </c>
      <c r="N39" s="263">
        <f t="shared" si="15"/>
        <v>102814.41946338536</v>
      </c>
      <c r="O39" s="263">
        <f t="shared" si="15"/>
        <v>110800.68247050099</v>
      </c>
      <c r="P39" s="263">
        <f t="shared" si="15"/>
        <v>118763.81367868325</v>
      </c>
      <c r="R39" s="452"/>
    </row>
    <row r="40" spans="1:18" ht="14.7" customHeight="1" outlineLevel="1" x14ac:dyDescent="0.3">
      <c r="H40" s="38"/>
      <c r="I40" s="38"/>
      <c r="J40" s="38"/>
      <c r="K40" s="38"/>
      <c r="L40" s="38"/>
      <c r="M40" s="38"/>
      <c r="N40" s="38"/>
      <c r="O40" s="38"/>
      <c r="P40" s="38"/>
    </row>
    <row r="41" spans="1:18" ht="14.7" customHeight="1" outlineLevel="1" x14ac:dyDescent="0.3">
      <c r="B41" s="66" t="s">
        <v>377</v>
      </c>
      <c r="H41" s="240">
        <f>-'FS Drivers and Inputs'!G46*'FS Model'!H37</f>
        <v>-40112.913668337023</v>
      </c>
      <c r="I41" s="240">
        <f>-'FS Drivers and Inputs'!H46*'FS Model'!I37</f>
        <v>-42762</v>
      </c>
      <c r="J41" s="240">
        <f>-'FS Drivers and Inputs'!I46*'FS Model'!J37</f>
        <v>-46252.113155752064</v>
      </c>
      <c r="K41" s="240">
        <f>-'FS Drivers and Inputs'!J46*'FS Model'!K37</f>
        <v>-47320.840554568589</v>
      </c>
      <c r="L41" s="240">
        <f>-'FS Drivers and Inputs'!K46*'FS Model'!L37</f>
        <v>-50575.490351420543</v>
      </c>
      <c r="M41" s="240">
        <f>-'FS Drivers and Inputs'!L46*'FS Model'!M37</f>
        <v>-51698.092347464422</v>
      </c>
      <c r="N41" s="240">
        <f>-'FS Drivers and Inputs'!M46*'FS Model'!N37</f>
        <v>-52602.741617505817</v>
      </c>
      <c r="O41" s="240">
        <f>-'FS Drivers and Inputs'!N46*'FS Model'!O37</f>
        <v>-53192.183715623236</v>
      </c>
      <c r="P41" s="240">
        <f>-'FS Drivers and Inputs'!O46*'FS Model'!P37</f>
        <v>-50635.734514167285</v>
      </c>
    </row>
    <row r="42" spans="1:18" ht="14.7" customHeight="1" outlineLevel="1" x14ac:dyDescent="0.3">
      <c r="B42" s="66" t="s">
        <v>233</v>
      </c>
      <c r="H42" s="240">
        <f>-'FS Drivers and Inputs'!G53*'FS Model'!H37</f>
        <v>-576.99875817392024</v>
      </c>
      <c r="I42" s="240">
        <f>-'FS Drivers and Inputs'!H53*'FS Model'!I37</f>
        <v>-918.00000000000011</v>
      </c>
      <c r="J42" s="240">
        <f>-'FS Drivers and Inputs'!I53*'FS Model'!J37</f>
        <v>-953.66042251874615</v>
      </c>
      <c r="K42" s="240">
        <f>-'FS Drivers and Inputs'!J53*'FS Model'!K37</f>
        <v>-2539.6878109724175</v>
      </c>
      <c r="L42" s="240">
        <f>-'FS Drivers and Inputs'!K53*'FS Model'!L37</f>
        <v>-4341.4137629179631</v>
      </c>
      <c r="M42" s="240">
        <f>-'FS Drivers and Inputs'!L53*'FS Model'!M37</f>
        <v>-6372.9605937253882</v>
      </c>
      <c r="N42" s="240">
        <f>-'FS Drivers and Inputs'!M53*'FS Model'!N37</f>
        <v>-8637.3025588527471</v>
      </c>
      <c r="O42" s="240">
        <f>-'FS Drivers and Inputs'!N53*'FS Model'!O37</f>
        <v>-11124.163278948277</v>
      </c>
      <c r="P42" s="240">
        <f>-'FS Drivers and Inputs'!O53*'FS Model'!P37</f>
        <v>-13809.745776591077</v>
      </c>
    </row>
    <row r="43" spans="1:18" ht="14.7" customHeight="1" outlineLevel="1" x14ac:dyDescent="0.3">
      <c r="B43" s="66" t="s">
        <v>378</v>
      </c>
      <c r="H43" s="241">
        <v>-1841</v>
      </c>
      <c r="I43" s="241">
        <v>-2151</v>
      </c>
      <c r="J43" s="239">
        <f>-'FS Drivers and Inputs'!I51*'FS Model'!J37</f>
        <v>-2177.2335763860142</v>
      </c>
      <c r="K43" s="239">
        <f>-'FS Drivers and Inputs'!J51*'FS Model'!K37</f>
        <v>-2322.6201294998623</v>
      </c>
      <c r="L43" s="239">
        <f>-'FS Drivers and Inputs'!K51*'FS Model'!L37</f>
        <v>-2482.3661324036752</v>
      </c>
      <c r="M43" s="239">
        <f>-'FS Drivers and Inputs'!L51*'FS Model'!M37</f>
        <v>-2650.6017521123354</v>
      </c>
      <c r="N43" s="239">
        <f>-'FS Drivers and Inputs'!M51*'FS Model'!N37</f>
        <v>-2822.8433013406207</v>
      </c>
      <c r="O43" s="239">
        <f>-'FS Drivers and Inputs'!N51*'FS Model'!O37</f>
        <v>-2994.2045815140459</v>
      </c>
      <c r="P43" s="239">
        <f>-'FS Drivers and Inputs'!O51*'FS Model'!P37</f>
        <v>-3159.6369265880498</v>
      </c>
    </row>
    <row r="44" spans="1:18" ht="14.7" customHeight="1" outlineLevel="1" x14ac:dyDescent="0.3">
      <c r="B44" s="138" t="s">
        <v>18</v>
      </c>
      <c r="H44" s="263">
        <f>H39+SUM(H41:H43)</f>
        <v>19035.955068278912</v>
      </c>
      <c r="I44" s="263">
        <f t="shared" ref="I44:P44" si="16">I39+SUM(I41:I43)</f>
        <v>21405.000000000029</v>
      </c>
      <c r="J44" s="263">
        <f t="shared" si="16"/>
        <v>24558.589507204866</v>
      </c>
      <c r="K44" s="263">
        <f t="shared" si="16"/>
        <v>28351.430172009765</v>
      </c>
      <c r="L44" s="263">
        <f t="shared" si="16"/>
        <v>30120.960023129592</v>
      </c>
      <c r="M44" s="263">
        <f t="shared" si="16"/>
        <v>34274.677181993466</v>
      </c>
      <c r="N44" s="263">
        <f t="shared" si="16"/>
        <v>38751.531985686182</v>
      </c>
      <c r="O44" s="263">
        <f t="shared" si="16"/>
        <v>43490.13089441543</v>
      </c>
      <c r="P44" s="263">
        <f t="shared" si="16"/>
        <v>51158.696461336833</v>
      </c>
    </row>
    <row r="45" spans="1:18" ht="14.7" customHeight="1" outlineLevel="1" x14ac:dyDescent="0.3">
      <c r="B45" s="75" t="s">
        <v>379</v>
      </c>
      <c r="C45" s="75"/>
      <c r="D45" s="75"/>
      <c r="E45" s="75"/>
      <c r="F45" s="75"/>
      <c r="G45" s="75"/>
      <c r="H45" s="360">
        <f>H44/H37</f>
        <v>6.8282485078968086E-2</v>
      </c>
      <c r="I45" s="360">
        <f t="shared" ref="I45:P45" si="17">I44/I37</f>
        <v>7.1623362500209231E-2</v>
      </c>
      <c r="J45" s="360">
        <f t="shared" si="17"/>
        <v>7.7423205573205825E-2</v>
      </c>
      <c r="K45" s="360">
        <f t="shared" si="17"/>
        <v>8.3785629634131387E-2</v>
      </c>
      <c r="L45" s="360">
        <f t="shared" si="17"/>
        <v>8.3286713290408737E-2</v>
      </c>
      <c r="M45" s="360">
        <f t="shared" si="17"/>
        <v>8.8756801660918372E-2</v>
      </c>
      <c r="N45" s="360">
        <f t="shared" si="17"/>
        <v>9.4226890031428229E-2</v>
      </c>
      <c r="O45" s="360">
        <f t="shared" si="17"/>
        <v>9.9696978401937919E-2</v>
      </c>
      <c r="P45" s="360">
        <f t="shared" si="17"/>
        <v>0.11113607148668013</v>
      </c>
    </row>
    <row r="46" spans="1:18" ht="14.7" customHeight="1" outlineLevel="1" x14ac:dyDescent="0.3">
      <c r="H46" s="38"/>
      <c r="I46" s="38"/>
      <c r="J46" s="360"/>
      <c r="K46" s="360"/>
      <c r="L46" s="360"/>
      <c r="M46" s="360"/>
      <c r="N46" s="360"/>
      <c r="O46" s="360"/>
      <c r="P46" s="360"/>
    </row>
    <row r="47" spans="1:18" ht="14.7" customHeight="1" outlineLevel="1" x14ac:dyDescent="0.3">
      <c r="B47" s="66" t="s">
        <v>259</v>
      </c>
      <c r="H47" s="241">
        <v>-669</v>
      </c>
      <c r="I47" s="241">
        <v>-671</v>
      </c>
      <c r="J47" s="239">
        <f>-'FS Drivers and Inputs'!I65*'FS Model'!J37</f>
        <v>-4876.2529143510747</v>
      </c>
      <c r="K47" s="239">
        <f>-'FS Drivers and Inputs'!J65*'FS Model'!K37</f>
        <v>-5744.8096706832821</v>
      </c>
      <c r="L47" s="239">
        <f>-'FS Drivers and Inputs'!K65*'FS Model'!L37</f>
        <v>-6720.211826126324</v>
      </c>
      <c r="M47" s="239">
        <f>-'FS Drivers and Inputs'!L65*'FS Model'!M37</f>
        <v>-7795.2666341611794</v>
      </c>
      <c r="N47" s="239">
        <f>-'FS Drivers and Inputs'!M65*'FS Model'!N37</f>
        <v>-8961.6933690909664</v>
      </c>
      <c r="O47" s="239">
        <f>-'FS Drivers and Inputs'!N65*'FS Model'!O37</f>
        <v>-10205.646890989297</v>
      </c>
      <c r="P47" s="239">
        <f>-'FS Drivers and Inputs'!O65*'FS Model'!P37</f>
        <v>-11508.121480492566</v>
      </c>
    </row>
    <row r="48" spans="1:18" ht="14.7" customHeight="1" outlineLevel="1" x14ac:dyDescent="0.3">
      <c r="B48" s="138" t="s">
        <v>224</v>
      </c>
      <c r="H48" s="263">
        <f>H44+H47</f>
        <v>18366.955068278912</v>
      </c>
      <c r="I48" s="263">
        <f t="shared" ref="I48:P48" si="18">I44+I47</f>
        <v>20734.000000000029</v>
      </c>
      <c r="J48" s="263">
        <f t="shared" si="18"/>
        <v>19682.33659285379</v>
      </c>
      <c r="K48" s="263">
        <f t="shared" si="18"/>
        <v>22606.620501326484</v>
      </c>
      <c r="L48" s="263">
        <f t="shared" si="18"/>
        <v>23400.748197003268</v>
      </c>
      <c r="M48" s="263">
        <f t="shared" si="18"/>
        <v>26479.410547832285</v>
      </c>
      <c r="N48" s="263">
        <f t="shared" si="18"/>
        <v>29789.838616595218</v>
      </c>
      <c r="O48" s="263">
        <f t="shared" si="18"/>
        <v>33284.484003426129</v>
      </c>
      <c r="P48" s="263">
        <f t="shared" si="18"/>
        <v>39650.574980844263</v>
      </c>
    </row>
    <row r="49" spans="1:16" ht="14.7" customHeight="1" outlineLevel="1" x14ac:dyDescent="0.3">
      <c r="H49" s="360"/>
      <c r="I49" s="360"/>
      <c r="J49" s="38"/>
      <c r="K49" s="38"/>
      <c r="L49" s="38"/>
      <c r="M49" s="38"/>
      <c r="N49" s="38"/>
      <c r="O49" s="38"/>
      <c r="P49" s="38"/>
    </row>
    <row r="50" spans="1:16" ht="14.7" customHeight="1" outlineLevel="1" x14ac:dyDescent="0.3">
      <c r="B50" s="66" t="s">
        <v>380</v>
      </c>
      <c r="H50" s="29">
        <v>318</v>
      </c>
      <c r="I50" s="29">
        <v>482</v>
      </c>
      <c r="J50" s="38">
        <f t="shared" ref="J50:P50" ca="1" si="19">J295+J256</f>
        <v>457.65948018269177</v>
      </c>
      <c r="K50" s="38">
        <f t="shared" ca="1" si="19"/>
        <v>412.29786969635148</v>
      </c>
      <c r="L50" s="38">
        <f t="shared" ca="1" si="19"/>
        <v>398.47705618032637</v>
      </c>
      <c r="M50" s="38">
        <f t="shared" ca="1" si="19"/>
        <v>399.64570666666668</v>
      </c>
      <c r="N50" s="38">
        <f t="shared" ca="1" si="19"/>
        <v>403.49216373333337</v>
      </c>
      <c r="O50" s="38">
        <f t="shared" ca="1" si="19"/>
        <v>407.37708537066669</v>
      </c>
      <c r="P50" s="38">
        <f t="shared" ca="1" si="19"/>
        <v>411.30085622437338</v>
      </c>
    </row>
    <row r="51" spans="1:16" ht="14.7" customHeight="1" outlineLevel="1" x14ac:dyDescent="0.3">
      <c r="B51" s="66" t="s">
        <v>192</v>
      </c>
      <c r="H51" s="29">
        <v>-49</v>
      </c>
      <c r="I51" s="29">
        <v>-45</v>
      </c>
      <c r="J51" s="38">
        <f t="shared" ref="J51:P51" si="20">J293</f>
        <v>-156.5853750878901</v>
      </c>
      <c r="K51" s="38">
        <f t="shared" ca="1" si="20"/>
        <v>-8107.1290055121444</v>
      </c>
      <c r="L51" s="38">
        <f t="shared" ca="1" si="20"/>
        <v>-16615.447832252023</v>
      </c>
      <c r="M51" s="38">
        <f t="shared" ca="1" si="20"/>
        <v>-17286.484186645383</v>
      </c>
      <c r="N51" s="38">
        <f t="shared" ca="1" si="20"/>
        <v>-17938.805997302537</v>
      </c>
      <c r="O51" s="38">
        <f t="shared" ca="1" si="20"/>
        <v>-18573.048984822603</v>
      </c>
      <c r="P51" s="38">
        <f t="shared" ca="1" si="20"/>
        <v>-19167.393912326603</v>
      </c>
    </row>
    <row r="52" spans="1:16" ht="14.7" customHeight="1" outlineLevel="1" x14ac:dyDescent="0.3">
      <c r="B52" s="66" t="s">
        <v>381</v>
      </c>
      <c r="H52" s="241">
        <v>767</v>
      </c>
      <c r="I52" s="241">
        <v>-1375</v>
      </c>
      <c r="J52" s="241">
        <v>0</v>
      </c>
      <c r="K52" s="241">
        <v>0</v>
      </c>
      <c r="L52" s="241">
        <v>0</v>
      </c>
      <c r="M52" s="241">
        <v>0</v>
      </c>
      <c r="N52" s="241">
        <v>0</v>
      </c>
      <c r="O52" s="241">
        <v>0</v>
      </c>
      <c r="P52" s="241">
        <v>0</v>
      </c>
    </row>
    <row r="53" spans="1:16" ht="14.7" customHeight="1" outlineLevel="1" x14ac:dyDescent="0.3">
      <c r="B53" s="138" t="s">
        <v>382</v>
      </c>
      <c r="H53" s="263">
        <f>SUM(H48,H50:H52)</f>
        <v>19402.955068278912</v>
      </c>
      <c r="I53" s="263">
        <f t="shared" ref="I53" si="21">SUM(I48,I50:I52)</f>
        <v>19796.000000000029</v>
      </c>
      <c r="J53" s="263">
        <f t="shared" ref="J53:P53" ca="1" si="22">SUM(J48,J50:J52)</f>
        <v>19983.410697948591</v>
      </c>
      <c r="K53" s="263">
        <f t="shared" ca="1" si="22"/>
        <v>14911.789365510691</v>
      </c>
      <c r="L53" s="263">
        <f t="shared" ca="1" si="22"/>
        <v>7183.7774209315721</v>
      </c>
      <c r="M53" s="263">
        <f t="shared" ca="1" si="22"/>
        <v>9592.572067853569</v>
      </c>
      <c r="N53" s="263">
        <f t="shared" ca="1" si="22"/>
        <v>12254.524783026012</v>
      </c>
      <c r="O53" s="263">
        <f t="shared" ca="1" si="22"/>
        <v>15118.812103974193</v>
      </c>
      <c r="P53" s="263">
        <f t="shared" ca="1" si="22"/>
        <v>20894.481924742031</v>
      </c>
    </row>
    <row r="54" spans="1:16" ht="14.7" customHeight="1" outlineLevel="1" x14ac:dyDescent="0.3">
      <c r="F54" s="264" t="s">
        <v>99</v>
      </c>
      <c r="H54" s="38"/>
      <c r="I54" s="38"/>
      <c r="J54" s="38"/>
      <c r="K54" s="38"/>
      <c r="L54" s="38"/>
      <c r="M54" s="38"/>
      <c r="N54" s="38"/>
      <c r="O54" s="38"/>
      <c r="P54" s="38"/>
    </row>
    <row r="55" spans="1:16" ht="14.7" customHeight="1" outlineLevel="1" x14ac:dyDescent="0.3">
      <c r="B55" s="66" t="s">
        <v>383</v>
      </c>
      <c r="F55" s="265">
        <f>'FS Transaction Details'!I29</f>
        <v>0.28000000000000003</v>
      </c>
      <c r="H55" s="241">
        <v>-4896</v>
      </c>
      <c r="I55" s="241">
        <v>-6747</v>
      </c>
      <c r="J55" s="238">
        <f t="shared" ref="J55:P55" ca="1" si="23">IF(J53&gt;0,-$F$55*J53,0)</f>
        <v>-5595.3549954256059</v>
      </c>
      <c r="K55" s="238">
        <f t="shared" ca="1" si="23"/>
        <v>-4175.3010223429937</v>
      </c>
      <c r="L55" s="238">
        <f t="shared" ca="1" si="23"/>
        <v>-2011.4576778608405</v>
      </c>
      <c r="M55" s="238">
        <f t="shared" ca="1" si="23"/>
        <v>-2685.9201789989997</v>
      </c>
      <c r="N55" s="238">
        <f t="shared" ca="1" si="23"/>
        <v>-3431.266939247284</v>
      </c>
      <c r="O55" s="238">
        <f t="shared" ca="1" si="23"/>
        <v>-4233.2673891127743</v>
      </c>
      <c r="P55" s="238">
        <f t="shared" ca="1" si="23"/>
        <v>-5850.454938927769</v>
      </c>
    </row>
    <row r="56" spans="1:16" ht="14.7" customHeight="1" outlineLevel="1" thickBot="1" x14ac:dyDescent="0.35">
      <c r="B56" s="138" t="s">
        <v>384</v>
      </c>
      <c r="H56" s="269">
        <f>H53+H55</f>
        <v>14506.955068278912</v>
      </c>
      <c r="I56" s="269">
        <f t="shared" ref="I56" si="24">I53+I55</f>
        <v>13049.000000000029</v>
      </c>
      <c r="J56" s="269">
        <f t="shared" ref="J56:P56" ca="1" si="25">J53+J55</f>
        <v>14388.055702522986</v>
      </c>
      <c r="K56" s="269">
        <f t="shared" ca="1" si="25"/>
        <v>10736.488343167697</v>
      </c>
      <c r="L56" s="269">
        <f t="shared" ca="1" si="25"/>
        <v>5172.3197430707314</v>
      </c>
      <c r="M56" s="269">
        <f t="shared" ca="1" si="25"/>
        <v>6906.6518888545688</v>
      </c>
      <c r="N56" s="269">
        <f t="shared" ca="1" si="25"/>
        <v>8823.2578437787288</v>
      </c>
      <c r="O56" s="269">
        <f t="shared" ca="1" si="25"/>
        <v>10885.544714861418</v>
      </c>
      <c r="P56" s="269">
        <f t="shared" ca="1" si="25"/>
        <v>15044.026985814262</v>
      </c>
    </row>
    <row r="57" spans="1:16" ht="14.7" customHeight="1" outlineLevel="1" x14ac:dyDescent="0.3"/>
    <row r="59" spans="1:16" ht="14.7" customHeight="1" x14ac:dyDescent="0.35">
      <c r="A59" s="66" t="s">
        <v>3</v>
      </c>
      <c r="B59" s="7" t="s">
        <v>385</v>
      </c>
      <c r="C59" s="7"/>
      <c r="D59" s="7"/>
      <c r="E59" s="7"/>
      <c r="F59" s="7"/>
      <c r="G59" s="45"/>
      <c r="H59" s="45"/>
      <c r="I59" s="45"/>
      <c r="J59" s="45"/>
      <c r="K59" s="45"/>
      <c r="L59" s="45"/>
      <c r="M59" s="45"/>
      <c r="N59" s="45"/>
      <c r="O59" s="45"/>
      <c r="P59" s="45"/>
    </row>
    <row r="60" spans="1:16" ht="14.7" customHeight="1" outlineLevel="1" x14ac:dyDescent="0.3"/>
    <row r="61" spans="1:16" ht="14.7" customHeight="1" outlineLevel="1" thickBot="1" x14ac:dyDescent="0.35">
      <c r="B61" s="260" t="s">
        <v>6</v>
      </c>
      <c r="J61" s="262">
        <f t="shared" ref="J61:P61" si="26">J35</f>
        <v>2024</v>
      </c>
      <c r="K61" s="336">
        <f t="shared" si="26"/>
        <v>2025</v>
      </c>
      <c r="L61" s="262">
        <f t="shared" si="26"/>
        <v>2026</v>
      </c>
      <c r="M61" s="262">
        <f t="shared" si="26"/>
        <v>2027</v>
      </c>
      <c r="N61" s="262">
        <f t="shared" si="26"/>
        <v>2028</v>
      </c>
      <c r="O61" s="262">
        <f t="shared" si="26"/>
        <v>2029</v>
      </c>
      <c r="P61" s="262">
        <f t="shared" si="26"/>
        <v>2030</v>
      </c>
    </row>
    <row r="62" spans="1:16" ht="14.7" customHeight="1" outlineLevel="1" x14ac:dyDescent="0.3"/>
    <row r="63" spans="1:16" ht="14.7" customHeight="1" outlineLevel="1" x14ac:dyDescent="0.3">
      <c r="B63" s="138" t="s">
        <v>386</v>
      </c>
    </row>
    <row r="64" spans="1:16" ht="14.7" customHeight="1" outlineLevel="1" x14ac:dyDescent="0.3">
      <c r="B64" s="66" t="s">
        <v>384</v>
      </c>
      <c r="J64" s="38">
        <f t="shared" ref="J64:P64" ca="1" si="27">J56</f>
        <v>14388.055702522986</v>
      </c>
      <c r="K64" s="38">
        <f t="shared" ca="1" si="27"/>
        <v>10736.488343167697</v>
      </c>
      <c r="L64" s="38">
        <f t="shared" ca="1" si="27"/>
        <v>5172.3197430707314</v>
      </c>
      <c r="M64" s="38">
        <f t="shared" ca="1" si="27"/>
        <v>6906.6518888545688</v>
      </c>
      <c r="N64" s="38">
        <f t="shared" ca="1" si="27"/>
        <v>8823.2578437787288</v>
      </c>
      <c r="O64" s="38">
        <f t="shared" ca="1" si="27"/>
        <v>10885.544714861418</v>
      </c>
      <c r="P64" s="38">
        <f t="shared" ca="1" si="27"/>
        <v>15044.026985814262</v>
      </c>
    </row>
    <row r="65" spans="2:16" ht="14.7" customHeight="1" outlineLevel="1" x14ac:dyDescent="0.3">
      <c r="B65" s="66" t="s">
        <v>387</v>
      </c>
      <c r="J65" s="38">
        <f t="shared" ref="J65:P65" si="28">-J242</f>
        <v>0</v>
      </c>
      <c r="K65" s="38">
        <f t="shared" ca="1" si="28"/>
        <v>2696.4969863810043</v>
      </c>
      <c r="L65" s="38">
        <f t="shared" ca="1" si="28"/>
        <v>5604.6738285425599</v>
      </c>
      <c r="M65" s="38">
        <f t="shared" ca="1" si="28"/>
        <v>5897.9918021245712</v>
      </c>
      <c r="N65" s="38">
        <f t="shared" ca="1" si="28"/>
        <v>6206.6604341495613</v>
      </c>
      <c r="O65" s="38">
        <f t="shared" ca="1" si="28"/>
        <v>6531.4830941204473</v>
      </c>
      <c r="P65" s="38">
        <f t="shared" ca="1" si="28"/>
        <v>6873.30519550592</v>
      </c>
    </row>
    <row r="66" spans="2:16" ht="14.7" customHeight="1" outlineLevel="1" x14ac:dyDescent="0.3">
      <c r="B66" s="66" t="s">
        <v>388</v>
      </c>
      <c r="J66" s="38">
        <f>J135</f>
        <v>-1262.9389333502331</v>
      </c>
      <c r="K66" s="38">
        <f t="shared" ref="K66:P66" si="29">K135</f>
        <v>2158.1385861722956</v>
      </c>
      <c r="L66" s="38">
        <f t="shared" si="29"/>
        <v>-3561.1985965834901</v>
      </c>
      <c r="M66" s="38">
        <f t="shared" si="29"/>
        <v>-2530.1213515276322</v>
      </c>
      <c r="N66" s="38">
        <f t="shared" si="29"/>
        <v>-1721.9185514947312</v>
      </c>
      <c r="O66" s="38">
        <f t="shared" si="29"/>
        <v>-2875.6586036788358</v>
      </c>
      <c r="P66" s="38">
        <f t="shared" si="29"/>
        <v>-2435.4155093820737</v>
      </c>
    </row>
    <row r="67" spans="2:16" ht="14.7" customHeight="1" outlineLevel="1" x14ac:dyDescent="0.3">
      <c r="B67" s="66" t="s">
        <v>389</v>
      </c>
      <c r="J67" s="238">
        <f t="shared" ref="J67:P67" si="30">J47*-1</f>
        <v>4876.2529143510747</v>
      </c>
      <c r="K67" s="238">
        <f t="shared" si="30"/>
        <v>5744.8096706832821</v>
      </c>
      <c r="L67" s="238">
        <f t="shared" si="30"/>
        <v>6720.211826126324</v>
      </c>
      <c r="M67" s="238">
        <f t="shared" si="30"/>
        <v>7795.2666341611794</v>
      </c>
      <c r="N67" s="238">
        <f t="shared" si="30"/>
        <v>8961.6933690909664</v>
      </c>
      <c r="O67" s="238">
        <f t="shared" si="30"/>
        <v>10205.646890989297</v>
      </c>
      <c r="P67" s="238">
        <f t="shared" si="30"/>
        <v>11508.121480492566</v>
      </c>
    </row>
    <row r="68" spans="2:16" ht="14.7" customHeight="1" outlineLevel="1" x14ac:dyDescent="0.3">
      <c r="B68" s="138" t="s">
        <v>390</v>
      </c>
      <c r="J68" s="263">
        <f t="shared" ref="J68:P68" ca="1" si="31">SUM(J64:J67)</f>
        <v>18001.36968352383</v>
      </c>
      <c r="K68" s="263">
        <f t="shared" ca="1" si="31"/>
        <v>21335.933586404281</v>
      </c>
      <c r="L68" s="263">
        <f t="shared" ca="1" si="31"/>
        <v>13936.006801156125</v>
      </c>
      <c r="M68" s="263">
        <f t="shared" ca="1" si="31"/>
        <v>18069.788973612689</v>
      </c>
      <c r="N68" s="263">
        <f t="shared" ca="1" si="31"/>
        <v>22269.693095524526</v>
      </c>
      <c r="O68" s="263">
        <f t="shared" ca="1" si="31"/>
        <v>24747.016096292329</v>
      </c>
      <c r="P68" s="263">
        <f t="shared" ca="1" si="31"/>
        <v>30990.038152430676</v>
      </c>
    </row>
    <row r="69" spans="2:16" ht="14.7" customHeight="1" outlineLevel="1" x14ac:dyDescent="0.3">
      <c r="J69" s="38"/>
      <c r="K69" s="38"/>
      <c r="L69" s="38"/>
      <c r="M69" s="38"/>
      <c r="N69" s="38"/>
      <c r="O69" s="38"/>
      <c r="P69" s="38"/>
    </row>
    <row r="70" spans="2:16" ht="14.7" customHeight="1" outlineLevel="1" x14ac:dyDescent="0.3">
      <c r="B70" s="138" t="s">
        <v>391</v>
      </c>
      <c r="J70" s="38"/>
      <c r="K70" s="38"/>
      <c r="L70" s="38"/>
      <c r="M70" s="38"/>
      <c r="N70" s="38"/>
      <c r="O70" s="38"/>
      <c r="P70" s="38"/>
    </row>
    <row r="71" spans="2:16" ht="14.7" customHeight="1" outlineLevel="1" x14ac:dyDescent="0.3">
      <c r="B71" s="66" t="s">
        <v>392</v>
      </c>
      <c r="J71" s="38">
        <f>-J101</f>
        <v>-10550.309674760669</v>
      </c>
      <c r="K71" s="38">
        <f t="shared" ref="K71:P71" si="32">-K101</f>
        <v>-11183.709135553892</v>
      </c>
      <c r="L71" s="38">
        <f t="shared" si="32"/>
        <v>-11876.909647120034</v>
      </c>
      <c r="M71" s="38">
        <f t="shared" si="32"/>
        <v>-12600.687801197641</v>
      </c>
      <c r="N71" s="38">
        <f t="shared" si="32"/>
        <v>-13333.086157627229</v>
      </c>
      <c r="O71" s="38">
        <f t="shared" si="32"/>
        <v>-14050.807489738479</v>
      </c>
      <c r="P71" s="38">
        <f t="shared" si="32"/>
        <v>-14730.395495030483</v>
      </c>
    </row>
    <row r="72" spans="2:16" ht="14.7" customHeight="1" outlineLevel="1" x14ac:dyDescent="0.3">
      <c r="B72" s="66" t="s">
        <v>147</v>
      </c>
      <c r="J72" s="238">
        <f t="shared" ref="J72:P72" si="33">-J102</f>
        <v>-3121.086431840798</v>
      </c>
      <c r="K72" s="238">
        <f t="shared" si="33"/>
        <v>-3112.9635255356538</v>
      </c>
      <c r="L72" s="238">
        <f t="shared" si="33"/>
        <v>-3095.6390536151725</v>
      </c>
      <c r="M72" s="238">
        <f t="shared" si="33"/>
        <v>-3058.3241104807425</v>
      </c>
      <c r="N72" s="238">
        <f t="shared" si="33"/>
        <v>-2993.8888866971865</v>
      </c>
      <c r="O72" s="238">
        <f t="shared" si="33"/>
        <v>-2896.4862400612046</v>
      </c>
      <c r="P72" s="238">
        <f t="shared" si="33"/>
        <v>-2761.9491553182156</v>
      </c>
    </row>
    <row r="73" spans="2:16" ht="14.7" customHeight="1" outlineLevel="1" x14ac:dyDescent="0.3">
      <c r="B73" s="138" t="s">
        <v>393</v>
      </c>
      <c r="J73" s="263">
        <f>SUM(J71:J72)</f>
        <v>-13671.396106601467</v>
      </c>
      <c r="K73" s="263">
        <f t="shared" ref="K73:P73" si="34">SUM(K71:K72)</f>
        <v>-14296.672661089546</v>
      </c>
      <c r="L73" s="263">
        <f t="shared" si="34"/>
        <v>-14972.548700735206</v>
      </c>
      <c r="M73" s="263">
        <f t="shared" si="34"/>
        <v>-15659.011911678383</v>
      </c>
      <c r="N73" s="263">
        <f t="shared" si="34"/>
        <v>-16326.975044324416</v>
      </c>
      <c r="O73" s="263">
        <f t="shared" si="34"/>
        <v>-16947.293729799683</v>
      </c>
      <c r="P73" s="263">
        <f t="shared" si="34"/>
        <v>-17492.344650348699</v>
      </c>
    </row>
    <row r="74" spans="2:16" ht="14.7" customHeight="1" outlineLevel="1" x14ac:dyDescent="0.3">
      <c r="J74" s="38"/>
      <c r="K74" s="38"/>
      <c r="L74" s="38"/>
      <c r="M74" s="38"/>
      <c r="N74" s="38"/>
      <c r="O74" s="38"/>
      <c r="P74" s="38"/>
    </row>
    <row r="75" spans="2:16" ht="14.7" customHeight="1" outlineLevel="1" x14ac:dyDescent="0.3">
      <c r="B75" s="138" t="s">
        <v>394</v>
      </c>
    </row>
    <row r="76" spans="2:16" ht="14.7" customHeight="1" outlineLevel="1" x14ac:dyDescent="0.3">
      <c r="B76" s="66" t="s">
        <v>395</v>
      </c>
      <c r="J76" s="38">
        <f>J265</f>
        <v>-14298.666666666664</v>
      </c>
      <c r="K76" s="38">
        <f t="shared" ref="K76:P76" si="35">K265</f>
        <v>0</v>
      </c>
      <c r="L76" s="38">
        <f t="shared" si="35"/>
        <v>0</v>
      </c>
      <c r="M76" s="38">
        <f t="shared" si="35"/>
        <v>0</v>
      </c>
      <c r="N76" s="38">
        <f t="shared" si="35"/>
        <v>0</v>
      </c>
      <c r="O76" s="38">
        <f t="shared" si="35"/>
        <v>0</v>
      </c>
      <c r="P76" s="38">
        <f t="shared" si="35"/>
        <v>0</v>
      </c>
    </row>
    <row r="77" spans="2:16" ht="14.7" customHeight="1" outlineLevel="1" x14ac:dyDescent="0.3">
      <c r="B77" s="66" t="s">
        <v>396</v>
      </c>
      <c r="J77" s="308"/>
      <c r="K77" s="38">
        <f t="shared" ref="K77:P79" ca="1" si="36">K266</f>
        <v>1561.0104637671866</v>
      </c>
      <c r="L77" s="38">
        <f t="shared" ca="1" si="36"/>
        <v>2509.1631307906619</v>
      </c>
      <c r="M77" s="38">
        <f t="shared" ca="1" si="36"/>
        <v>7400.2189582751471</v>
      </c>
      <c r="N77" s="38">
        <f t="shared" ca="1" si="36"/>
        <v>3527.6798746490658</v>
      </c>
      <c r="O77" s="38">
        <f t="shared" ca="1" si="36"/>
        <v>1342.6645538416997</v>
      </c>
      <c r="P77" s="38">
        <f t="shared" ca="1" si="36"/>
        <v>-4671.2132452722471</v>
      </c>
    </row>
    <row r="78" spans="2:16" ht="14.7" customHeight="1" outlineLevel="1" x14ac:dyDescent="0.3">
      <c r="B78" s="66" t="s">
        <v>397</v>
      </c>
      <c r="J78" s="308"/>
      <c r="K78" s="38">
        <f t="shared" ca="1" si="36"/>
        <v>-3758.2823291359714</v>
      </c>
      <c r="L78" s="38">
        <f t="shared" ca="1" si="36"/>
        <v>-3683.1166825532518</v>
      </c>
      <c r="M78" s="38">
        <f t="shared" ca="1" si="36"/>
        <v>-7218.9086978043733</v>
      </c>
      <c r="N78" s="38">
        <f t="shared" ca="1" si="36"/>
        <v>-6930.1523498921979</v>
      </c>
      <c r="O78" s="38">
        <f t="shared" ca="1" si="36"/>
        <v>-6652.9462558965106</v>
      </c>
      <c r="P78" s="38">
        <f t="shared" ca="1" si="36"/>
        <v>-6386.8284056606508</v>
      </c>
    </row>
    <row r="79" spans="2:16" ht="14.7" customHeight="1" outlineLevel="1" x14ac:dyDescent="0.3">
      <c r="B79" s="66" t="s">
        <v>398</v>
      </c>
      <c r="J79" s="308"/>
      <c r="K79" s="38">
        <f t="shared" ca="1" si="36"/>
        <v>-1322.3585972885826</v>
      </c>
      <c r="L79" s="38">
        <f t="shared" ca="1" si="36"/>
        <v>-1309.1350113156968</v>
      </c>
      <c r="M79" s="38">
        <f t="shared" ca="1" si="36"/>
        <v>-2592.0873224050797</v>
      </c>
      <c r="N79" s="38">
        <f t="shared" ca="1" si="36"/>
        <v>-2540.245575956978</v>
      </c>
      <c r="O79" s="38">
        <f t="shared" ca="1" si="36"/>
        <v>-2489.4406644378387</v>
      </c>
      <c r="P79" s="38">
        <f t="shared" ca="1" si="36"/>
        <v>-2439.6518511490822</v>
      </c>
    </row>
    <row r="80" spans="2:16" ht="14.7" customHeight="1" outlineLevel="1" x14ac:dyDescent="0.3">
      <c r="B80" s="66" t="s">
        <v>399</v>
      </c>
      <c r="J80" s="308"/>
      <c r="K80" s="38">
        <f t="shared" ref="K80:P80" si="37">K269</f>
        <v>0</v>
      </c>
      <c r="L80" s="38">
        <f t="shared" si="37"/>
        <v>0</v>
      </c>
      <c r="M80" s="38">
        <f t="shared" si="37"/>
        <v>0</v>
      </c>
      <c r="N80" s="38">
        <f t="shared" si="37"/>
        <v>0</v>
      </c>
      <c r="O80" s="38">
        <f t="shared" si="37"/>
        <v>0</v>
      </c>
      <c r="P80" s="38">
        <f t="shared" si="37"/>
        <v>0</v>
      </c>
    </row>
    <row r="81" spans="1:16" ht="14.7" customHeight="1" outlineLevel="1" x14ac:dyDescent="0.3">
      <c r="B81" s="66" t="s">
        <v>400</v>
      </c>
      <c r="J81" s="240">
        <f>'FS Drivers and Inputs'!I96</f>
        <v>0</v>
      </c>
      <c r="K81" s="240">
        <f>'FS Drivers and Inputs'!J96</f>
        <v>0</v>
      </c>
      <c r="L81" s="240">
        <f>'FS Drivers and Inputs'!K96</f>
        <v>0</v>
      </c>
      <c r="M81" s="240">
        <f>'FS Drivers and Inputs'!L96</f>
        <v>0</v>
      </c>
      <c r="N81" s="240">
        <f>'FS Drivers and Inputs'!M96</f>
        <v>0</v>
      </c>
      <c r="O81" s="240">
        <f>'FS Drivers and Inputs'!N96</f>
        <v>0</v>
      </c>
      <c r="P81" s="240">
        <f>'FS Drivers and Inputs'!O96</f>
        <v>0</v>
      </c>
    </row>
    <row r="82" spans="1:16" ht="14.7" customHeight="1" outlineLevel="1" x14ac:dyDescent="0.3">
      <c r="B82" s="66" t="s">
        <v>191</v>
      </c>
      <c r="J82" s="239">
        <f>'FS Drivers and Inputs'!I98</f>
        <v>0</v>
      </c>
      <c r="K82" s="239">
        <f>-'FS Drivers and Inputs'!J98</f>
        <v>0</v>
      </c>
      <c r="L82" s="239">
        <f>'FS Drivers and Inputs'!K98</f>
        <v>0</v>
      </c>
      <c r="M82" s="239">
        <f>'FS Drivers and Inputs'!L98</f>
        <v>0</v>
      </c>
      <c r="N82" s="239">
        <f>'FS Drivers and Inputs'!M98</f>
        <v>0</v>
      </c>
      <c r="O82" s="239">
        <f>'FS Drivers and Inputs'!N98</f>
        <v>0</v>
      </c>
      <c r="P82" s="239">
        <f>'FS Drivers and Inputs'!O98</f>
        <v>0</v>
      </c>
    </row>
    <row r="83" spans="1:16" ht="14.7" customHeight="1" outlineLevel="1" x14ac:dyDescent="0.3">
      <c r="B83" s="138" t="s">
        <v>401</v>
      </c>
      <c r="J83" s="263">
        <f t="shared" ref="J83:P83" si="38">SUM(J76:J82)</f>
        <v>-14298.666666666664</v>
      </c>
      <c r="K83" s="263">
        <f t="shared" ca="1" si="38"/>
        <v>-3519.6304626573674</v>
      </c>
      <c r="L83" s="263">
        <f t="shared" ca="1" si="38"/>
        <v>-2483.0885630782868</v>
      </c>
      <c r="M83" s="263">
        <f t="shared" ca="1" si="38"/>
        <v>-2410.7770619343059</v>
      </c>
      <c r="N83" s="263">
        <f t="shared" ca="1" si="38"/>
        <v>-5942.7180512001105</v>
      </c>
      <c r="O83" s="263">
        <f t="shared" ca="1" si="38"/>
        <v>-7799.7223664926496</v>
      </c>
      <c r="P83" s="263">
        <f t="shared" ca="1" si="38"/>
        <v>-13497.69350208198</v>
      </c>
    </row>
    <row r="84" spans="1:16" ht="14.7" customHeight="1" outlineLevel="1" x14ac:dyDescent="0.3">
      <c r="J84" s="38"/>
      <c r="K84" s="38"/>
      <c r="L84" s="38"/>
      <c r="M84" s="38"/>
      <c r="N84" s="38"/>
      <c r="O84" s="38"/>
      <c r="P84" s="38"/>
    </row>
    <row r="85" spans="1:16" ht="14.7" customHeight="1" outlineLevel="1" x14ac:dyDescent="0.3">
      <c r="B85" s="138" t="s">
        <v>402</v>
      </c>
      <c r="J85" s="38"/>
      <c r="K85" s="38"/>
      <c r="L85" s="38"/>
      <c r="M85" s="38"/>
      <c r="N85" s="38"/>
      <c r="O85" s="38"/>
      <c r="P85" s="38"/>
    </row>
    <row r="86" spans="1:16" ht="14.7" customHeight="1" outlineLevel="1" x14ac:dyDescent="0.3">
      <c r="B86" s="66" t="s">
        <v>403</v>
      </c>
      <c r="G86" s="309" t="s">
        <v>404</v>
      </c>
      <c r="J86" s="38">
        <f>'Balance Sheet'!E22</f>
        <v>43424</v>
      </c>
      <c r="K86" s="38">
        <f t="shared" ref="K86:P86" ca="1" si="39">J88</f>
        <v>33455.306910255698</v>
      </c>
      <c r="L86" s="38">
        <f t="shared" ca="1" si="39"/>
        <v>13519.630462657369</v>
      </c>
      <c r="M86" s="38">
        <f t="shared" ca="1" si="39"/>
        <v>10000.000000000002</v>
      </c>
      <c r="N86" s="38">
        <f t="shared" ca="1" si="39"/>
        <v>10000.000000000002</v>
      </c>
      <c r="O86" s="38">
        <f t="shared" ca="1" si="39"/>
        <v>10000.000000000002</v>
      </c>
      <c r="P86" s="38">
        <f t="shared" ca="1" si="39"/>
        <v>10000.000000000002</v>
      </c>
    </row>
    <row r="87" spans="1:16" ht="14.7" customHeight="1" outlineLevel="1" x14ac:dyDescent="0.3">
      <c r="B87" s="66" t="s">
        <v>405</v>
      </c>
      <c r="G87" s="240">
        <f ca="1">'FS Transaction Details'!J7*-1</f>
        <v>-23455.306910255698</v>
      </c>
      <c r="J87" s="238">
        <f ca="1">SUM(J83,J73,J68)</f>
        <v>-9968.6930897443017</v>
      </c>
      <c r="K87" s="238">
        <f ca="1">SUM(K83,K73,K68)+G87</f>
        <v>-19935.676447598329</v>
      </c>
      <c r="L87" s="238">
        <f ca="1">SUM(L83,L73,L68)</f>
        <v>-3519.6304626573674</v>
      </c>
      <c r="M87" s="238">
        <f ca="1">SUM(M83,M73,M68)</f>
        <v>0</v>
      </c>
      <c r="N87" s="238">
        <f ca="1">SUM(N83,N73,N68)</f>
        <v>0</v>
      </c>
      <c r="O87" s="238">
        <f ca="1">SUM(O83,O73,O68)</f>
        <v>0</v>
      </c>
      <c r="P87" s="238">
        <f ca="1">SUM(P83,P73,P68)</f>
        <v>0</v>
      </c>
    </row>
    <row r="88" spans="1:16" ht="14.7" customHeight="1" outlineLevel="1" x14ac:dyDescent="0.3">
      <c r="B88" s="138" t="s">
        <v>406</v>
      </c>
      <c r="J88" s="263">
        <f t="shared" ref="J88:P88" ca="1" si="40">SUM(J86:J87)</f>
        <v>33455.306910255698</v>
      </c>
      <c r="K88" s="263">
        <f t="shared" ca="1" si="40"/>
        <v>13519.630462657369</v>
      </c>
      <c r="L88" s="263">
        <f t="shared" ca="1" si="40"/>
        <v>10000.000000000002</v>
      </c>
      <c r="M88" s="263">
        <f t="shared" ca="1" si="40"/>
        <v>10000.000000000002</v>
      </c>
      <c r="N88" s="263">
        <f t="shared" ca="1" si="40"/>
        <v>10000.000000000002</v>
      </c>
      <c r="O88" s="263">
        <f t="shared" ca="1" si="40"/>
        <v>10000.000000000002</v>
      </c>
      <c r="P88" s="263">
        <f t="shared" ca="1" si="40"/>
        <v>10000.000000000002</v>
      </c>
    </row>
    <row r="89" spans="1:16" ht="14.7" customHeight="1" outlineLevel="1" x14ac:dyDescent="0.3">
      <c r="H89" s="307"/>
    </row>
    <row r="90" spans="1:16" ht="14.7" customHeight="1" outlineLevel="1" x14ac:dyDescent="0.3"/>
    <row r="92" spans="1:16" ht="14.7" customHeight="1" x14ac:dyDescent="0.35">
      <c r="A92" s="66" t="s">
        <v>3</v>
      </c>
      <c r="B92" s="7" t="s">
        <v>407</v>
      </c>
      <c r="C92" s="7"/>
      <c r="D92" s="7"/>
      <c r="E92" s="7"/>
      <c r="F92" s="7"/>
      <c r="G92" s="45"/>
      <c r="H92" s="45"/>
      <c r="I92" s="45"/>
      <c r="J92" s="45"/>
      <c r="K92" s="45"/>
      <c r="L92" s="45"/>
      <c r="M92" s="45"/>
      <c r="N92" s="45"/>
      <c r="O92" s="45"/>
      <c r="P92" s="45"/>
    </row>
    <row r="93" spans="1:16" ht="14.7" customHeight="1" outlineLevel="1" x14ac:dyDescent="0.3"/>
    <row r="94" spans="1:16" ht="14.7" customHeight="1" outlineLevel="1" thickBot="1" x14ac:dyDescent="0.35">
      <c r="B94" s="260" t="s">
        <v>408</v>
      </c>
      <c r="J94" s="262">
        <f t="shared" ref="J94:P94" si="41">J61</f>
        <v>2024</v>
      </c>
      <c r="K94" s="336">
        <f t="shared" si="41"/>
        <v>2025</v>
      </c>
      <c r="L94" s="262">
        <f t="shared" si="41"/>
        <v>2026</v>
      </c>
      <c r="M94" s="262">
        <f t="shared" si="41"/>
        <v>2027</v>
      </c>
      <c r="N94" s="262">
        <f t="shared" si="41"/>
        <v>2028</v>
      </c>
      <c r="O94" s="262">
        <f t="shared" si="41"/>
        <v>2029</v>
      </c>
      <c r="P94" s="262">
        <f t="shared" si="41"/>
        <v>2030</v>
      </c>
    </row>
    <row r="95" spans="1:16" ht="14.7" customHeight="1" outlineLevel="1" x14ac:dyDescent="0.3"/>
    <row r="96" spans="1:16" ht="14.7" customHeight="1" outlineLevel="1" x14ac:dyDescent="0.3">
      <c r="B96" s="66" t="s">
        <v>79</v>
      </c>
      <c r="J96" s="38"/>
      <c r="K96" s="38"/>
      <c r="L96" s="38"/>
      <c r="M96" s="38"/>
      <c r="N96" s="38"/>
      <c r="O96" s="38"/>
      <c r="P96" s="38"/>
    </row>
    <row r="97" spans="1:16" ht="14.7" customHeight="1" outlineLevel="1" x14ac:dyDescent="0.3"/>
    <row r="98" spans="1:16" ht="14.7" customHeight="1" outlineLevel="1" x14ac:dyDescent="0.3">
      <c r="B98" s="66" t="s">
        <v>409</v>
      </c>
      <c r="J98" s="271">
        <f>'FS Drivers and Inputs'!I58</f>
        <v>3.3260818768534643E-2</v>
      </c>
      <c r="K98" s="272">
        <f>'FS Drivers and Inputs'!J58</f>
        <v>3.3050682307112202E-2</v>
      </c>
      <c r="L98" s="272">
        <f>'FS Drivers and Inputs'!K58</f>
        <v>3.284054584568976E-2</v>
      </c>
      <c r="M98" s="272">
        <f>'FS Drivers and Inputs'!L58</f>
        <v>3.2630409384267318E-2</v>
      </c>
      <c r="N98" s="272">
        <f>'FS Drivers and Inputs'!M58</f>
        <v>3.2420272922844877E-2</v>
      </c>
      <c r="O98" s="272">
        <f>'FS Drivers and Inputs'!N58</f>
        <v>3.2210136461422435E-2</v>
      </c>
      <c r="P98" s="273">
        <f>'FS Drivers and Inputs'!O58</f>
        <v>3.2000000000000001E-2</v>
      </c>
    </row>
    <row r="99" spans="1:16" ht="14.7" customHeight="1" outlineLevel="1" x14ac:dyDescent="0.3">
      <c r="B99" s="66" t="s">
        <v>410</v>
      </c>
      <c r="J99" s="274">
        <f>'FS Drivers and Inputs'!I63</f>
        <v>9.8395111964089468E-3</v>
      </c>
      <c r="K99" s="275">
        <f>'FS Drivers and Inputs'!J63</f>
        <v>9.1995926636741221E-3</v>
      </c>
      <c r="L99" s="275">
        <f>'FS Drivers and Inputs'!K63</f>
        <v>8.5596741309392974E-3</v>
      </c>
      <c r="M99" s="275">
        <f>'FS Drivers and Inputs'!L63</f>
        <v>7.9197555982044726E-3</v>
      </c>
      <c r="N99" s="275">
        <f>'FS Drivers and Inputs'!M63</f>
        <v>7.2798370654696479E-3</v>
      </c>
      <c r="O99" s="275">
        <f>'FS Drivers and Inputs'!N63</f>
        <v>6.6399185327348231E-3</v>
      </c>
      <c r="P99" s="276">
        <f>'FS Drivers and Inputs'!O63</f>
        <v>6.0000000000000001E-3</v>
      </c>
    </row>
    <row r="100" spans="1:16" ht="14.7" customHeight="1" outlineLevel="1" x14ac:dyDescent="0.3"/>
    <row r="101" spans="1:16" ht="14.7" customHeight="1" outlineLevel="1" x14ac:dyDescent="0.3">
      <c r="B101" s="66" t="s">
        <v>392</v>
      </c>
      <c r="J101" s="38">
        <f>J98*J$37</f>
        <v>10550.309674760669</v>
      </c>
      <c r="K101" s="38">
        <f t="shared" ref="K101:P101" si="42">K98*K$37</f>
        <v>11183.709135553892</v>
      </c>
      <c r="L101" s="38">
        <f t="shared" si="42"/>
        <v>11876.909647120034</v>
      </c>
      <c r="M101" s="38">
        <f t="shared" si="42"/>
        <v>12600.687801197641</v>
      </c>
      <c r="N101" s="38">
        <f t="shared" si="42"/>
        <v>13333.086157627229</v>
      </c>
      <c r="O101" s="38">
        <f t="shared" si="42"/>
        <v>14050.807489738479</v>
      </c>
      <c r="P101" s="38">
        <f t="shared" si="42"/>
        <v>14730.395495030483</v>
      </c>
    </row>
    <row r="102" spans="1:16" ht="14.7" customHeight="1" outlineLevel="1" x14ac:dyDescent="0.3">
      <c r="B102" s="66" t="s">
        <v>147</v>
      </c>
      <c r="J102" s="238">
        <f t="shared" ref="J102:P102" si="43">J99*J$37</f>
        <v>3121.086431840798</v>
      </c>
      <c r="K102" s="238">
        <f t="shared" si="43"/>
        <v>3112.9635255356538</v>
      </c>
      <c r="L102" s="238">
        <f t="shared" si="43"/>
        <v>3095.6390536151725</v>
      </c>
      <c r="M102" s="238">
        <f t="shared" si="43"/>
        <v>3058.3241104807425</v>
      </c>
      <c r="N102" s="238">
        <f t="shared" si="43"/>
        <v>2993.8888866971865</v>
      </c>
      <c r="O102" s="238">
        <f t="shared" si="43"/>
        <v>2896.4862400612046</v>
      </c>
      <c r="P102" s="238">
        <f t="shared" si="43"/>
        <v>2761.9491553182156</v>
      </c>
    </row>
    <row r="103" spans="1:16" ht="14.7" customHeight="1" outlineLevel="1" x14ac:dyDescent="0.3">
      <c r="B103" s="138" t="s">
        <v>411</v>
      </c>
      <c r="J103" s="263">
        <f>SUM(J101:J102)</f>
        <v>13671.396106601467</v>
      </c>
      <c r="K103" s="263">
        <f t="shared" ref="K103:P103" si="44">SUM(K101:K102)</f>
        <v>14296.672661089546</v>
      </c>
      <c r="L103" s="263">
        <f t="shared" si="44"/>
        <v>14972.548700735206</v>
      </c>
      <c r="M103" s="263">
        <f t="shared" si="44"/>
        <v>15659.011911678383</v>
      </c>
      <c r="N103" s="263">
        <f t="shared" si="44"/>
        <v>16326.975044324416</v>
      </c>
      <c r="O103" s="263">
        <f t="shared" si="44"/>
        <v>16947.293729799683</v>
      </c>
      <c r="P103" s="263">
        <f t="shared" si="44"/>
        <v>17492.344650348699</v>
      </c>
    </row>
    <row r="104" spans="1:16" ht="14.7" customHeight="1" outlineLevel="1" x14ac:dyDescent="0.3"/>
    <row r="106" spans="1:16" ht="14.7" customHeight="1" x14ac:dyDescent="0.35">
      <c r="A106" s="66" t="s">
        <v>3</v>
      </c>
      <c r="B106" s="7" t="s">
        <v>412</v>
      </c>
      <c r="C106" s="7"/>
      <c r="D106" s="7"/>
      <c r="E106" s="7"/>
      <c r="F106" s="7"/>
      <c r="G106" s="45"/>
      <c r="H106" s="45"/>
      <c r="I106" s="45"/>
      <c r="J106" s="45"/>
      <c r="K106" s="45"/>
      <c r="L106" s="45"/>
      <c r="M106" s="45"/>
      <c r="N106" s="45"/>
      <c r="O106" s="45"/>
      <c r="P106" s="45"/>
    </row>
    <row r="107" spans="1:16" ht="14.7" customHeight="1" outlineLevel="1" x14ac:dyDescent="0.3"/>
    <row r="108" spans="1:16" ht="14.7" customHeight="1" outlineLevel="1" thickBot="1" x14ac:dyDescent="0.35">
      <c r="B108" s="260" t="s">
        <v>6</v>
      </c>
      <c r="H108" s="261">
        <v>2022</v>
      </c>
      <c r="I108" s="261">
        <v>2023</v>
      </c>
      <c r="J108" s="262">
        <f>I108+1</f>
        <v>2024</v>
      </c>
      <c r="K108" s="336">
        <f t="shared" ref="K108:P108" si="45">J108+1</f>
        <v>2025</v>
      </c>
      <c r="L108" s="262">
        <f t="shared" si="45"/>
        <v>2026</v>
      </c>
      <c r="M108" s="262">
        <f t="shared" si="45"/>
        <v>2027</v>
      </c>
      <c r="N108" s="262">
        <f t="shared" si="45"/>
        <v>2028</v>
      </c>
      <c r="O108" s="262">
        <f t="shared" si="45"/>
        <v>2029</v>
      </c>
      <c r="P108" s="262">
        <f t="shared" si="45"/>
        <v>2030</v>
      </c>
    </row>
    <row r="109" spans="1:16" ht="14.7" customHeight="1" outlineLevel="1" x14ac:dyDescent="0.3"/>
    <row r="110" spans="1:16" ht="14.7" customHeight="1" outlineLevel="1" x14ac:dyDescent="0.3">
      <c r="B110" s="66" t="s">
        <v>304</v>
      </c>
      <c r="H110" s="277">
        <f>'FS Transaction Details'!I28</f>
        <v>365</v>
      </c>
      <c r="I110" s="278">
        <f>H110</f>
        <v>365</v>
      </c>
      <c r="J110" s="278">
        <f t="shared" ref="J110:P110" si="46">I110</f>
        <v>365</v>
      </c>
      <c r="K110" s="278">
        <f t="shared" si="46"/>
        <v>365</v>
      </c>
      <c r="L110" s="278">
        <f t="shared" si="46"/>
        <v>365</v>
      </c>
      <c r="M110" s="278">
        <f t="shared" si="46"/>
        <v>365</v>
      </c>
      <c r="N110" s="278">
        <f t="shared" si="46"/>
        <v>365</v>
      </c>
      <c r="O110" s="278">
        <f t="shared" si="46"/>
        <v>365</v>
      </c>
      <c r="P110" s="279">
        <f t="shared" si="46"/>
        <v>365</v>
      </c>
    </row>
    <row r="111" spans="1:16" ht="14.7" customHeight="1" outlineLevel="1" x14ac:dyDescent="0.3">
      <c r="B111" s="66" t="s">
        <v>79</v>
      </c>
      <c r="H111" s="280">
        <f t="shared" ref="H111:P111" si="47">H37</f>
        <v>278782.40000000002</v>
      </c>
      <c r="I111" s="38">
        <f t="shared" si="47"/>
        <v>298855</v>
      </c>
      <c r="J111" s="38">
        <f t="shared" si="47"/>
        <v>317199.3373999999</v>
      </c>
      <c r="K111" s="38">
        <f t="shared" si="47"/>
        <v>338380.58263466659</v>
      </c>
      <c r="L111" s="38">
        <f t="shared" si="47"/>
        <v>361653.84409037919</v>
      </c>
      <c r="M111" s="38">
        <f t="shared" si="47"/>
        <v>386163.9507125839</v>
      </c>
      <c r="N111" s="38">
        <f t="shared" si="47"/>
        <v>411257.67785354139</v>
      </c>
      <c r="O111" s="38">
        <f t="shared" si="47"/>
        <v>436223.1593326811</v>
      </c>
      <c r="P111" s="281">
        <f t="shared" si="47"/>
        <v>460324.8592197026</v>
      </c>
    </row>
    <row r="112" spans="1:16" ht="14.7" customHeight="1" outlineLevel="1" x14ac:dyDescent="0.3">
      <c r="B112" s="66" t="s">
        <v>375</v>
      </c>
      <c r="H112" s="282">
        <f t="shared" ref="H112:P112" si="48">-H38</f>
        <v>217215.53250521017</v>
      </c>
      <c r="I112" s="194">
        <f t="shared" si="48"/>
        <v>231618.99999999997</v>
      </c>
      <c r="J112" s="194">
        <f t="shared" si="48"/>
        <v>243257.74073813821</v>
      </c>
      <c r="K112" s="194">
        <f t="shared" si="48"/>
        <v>257846.00396761595</v>
      </c>
      <c r="L112" s="194">
        <f t="shared" si="48"/>
        <v>274133.61382050742</v>
      </c>
      <c r="M112" s="194">
        <f t="shared" si="48"/>
        <v>291167.61883728829</v>
      </c>
      <c r="N112" s="194">
        <f t="shared" si="48"/>
        <v>308443.25839015603</v>
      </c>
      <c r="O112" s="194">
        <f t="shared" si="48"/>
        <v>325422.4768621801</v>
      </c>
      <c r="P112" s="283">
        <f t="shared" si="48"/>
        <v>341561.04554101935</v>
      </c>
    </row>
    <row r="113" spans="2:16" ht="14.7" customHeight="1" outlineLevel="1" x14ac:dyDescent="0.3"/>
    <row r="114" spans="2:16" ht="14.7" customHeight="1" outlineLevel="1" x14ac:dyDescent="0.3">
      <c r="B114" s="66" t="s">
        <v>151</v>
      </c>
      <c r="G114" s="169" t="s">
        <v>152</v>
      </c>
      <c r="H114" s="285">
        <f>'FS Drivers and Inputs'!G70</f>
        <v>74.000799905302699</v>
      </c>
      <c r="I114" s="286">
        <f>'FS Drivers and Inputs'!H70</f>
        <v>76.4478091382108</v>
      </c>
      <c r="J114" s="286">
        <f>'FS Drivers and Inputs'!I70</f>
        <v>74.828104924882012</v>
      </c>
      <c r="K114" s="286">
        <f>'FS Drivers and Inputs'!J70</f>
        <v>75.092237989465175</v>
      </c>
      <c r="L114" s="286">
        <f>'FS Drivers and Inputs'!K70</f>
        <v>75.456050684185996</v>
      </c>
      <c r="M114" s="286">
        <f>'FS Drivers and Inputs'!L70</f>
        <v>75.12546453284439</v>
      </c>
      <c r="N114" s="286">
        <f>'FS Drivers and Inputs'!M70</f>
        <v>75.224584402165192</v>
      </c>
      <c r="O114" s="286">
        <f>'FS Drivers and Inputs'!N70</f>
        <v>75.268699873065188</v>
      </c>
      <c r="P114" s="287">
        <f>'FS Drivers and Inputs'!O70</f>
        <v>75.206249602691585</v>
      </c>
    </row>
    <row r="115" spans="2:16" ht="14.7" customHeight="1" outlineLevel="1" x14ac:dyDescent="0.3">
      <c r="B115" s="66" t="s">
        <v>153</v>
      </c>
      <c r="G115" s="169" t="s">
        <v>152</v>
      </c>
      <c r="H115" s="288">
        <f>'FS Drivers and Inputs'!G71</f>
        <v>9.3259704625810258</v>
      </c>
      <c r="I115" s="240">
        <f>'FS Drivers and Inputs'!H71</f>
        <v>9.3275378962865698</v>
      </c>
      <c r="J115" s="240">
        <f>'FS Drivers and Inputs'!I71</f>
        <v>7.3425762677874609</v>
      </c>
      <c r="K115" s="240">
        <f>'FS Drivers and Inputs'!J71</f>
        <v>7.3425762677874609</v>
      </c>
      <c r="L115" s="240">
        <f>'FS Drivers and Inputs'!K71</f>
        <v>7.3425762677874609</v>
      </c>
      <c r="M115" s="240">
        <f>'FS Drivers and Inputs'!L71</f>
        <v>7.3425762677874609</v>
      </c>
      <c r="N115" s="240">
        <f>'FS Drivers and Inputs'!M71</f>
        <v>7.3425762677874609</v>
      </c>
      <c r="O115" s="240">
        <f>'FS Drivers and Inputs'!N71</f>
        <v>7.3425762677874609</v>
      </c>
      <c r="P115" s="289">
        <f>'FS Drivers and Inputs'!O71</f>
        <v>7.3425762677874609</v>
      </c>
    </row>
    <row r="116" spans="2:16" ht="14.7" customHeight="1" outlineLevel="1" x14ac:dyDescent="0.3">
      <c r="B116" s="66" t="s">
        <v>154</v>
      </c>
      <c r="G116" s="169" t="s">
        <v>152</v>
      </c>
      <c r="H116" s="290">
        <f>'FS Drivers and Inputs'!G72</f>
        <v>23.664440004419564</v>
      </c>
      <c r="I116" s="291">
        <f>'FS Drivers and Inputs'!H72</f>
        <v>21.532603111143729</v>
      </c>
      <c r="J116" s="291">
        <f>'FS Drivers and Inputs'!I72</f>
        <v>20.585137495090951</v>
      </c>
      <c r="K116" s="291">
        <f>'FS Drivers and Inputs'!J72</f>
        <v>21.927393536884747</v>
      </c>
      <c r="L116" s="291">
        <f>'FS Drivers and Inputs'!K72</f>
        <v>21.927393536884747</v>
      </c>
      <c r="M116" s="291">
        <f>'FS Drivers and Inputs'!L72</f>
        <v>21.927393536884747</v>
      </c>
      <c r="N116" s="291">
        <f>'FS Drivers and Inputs'!M72</f>
        <v>21.927393536884747</v>
      </c>
      <c r="O116" s="291">
        <f>'FS Drivers and Inputs'!N72</f>
        <v>21.927393536884747</v>
      </c>
      <c r="P116" s="292">
        <f>'FS Drivers and Inputs'!O72</f>
        <v>21.927393536884747</v>
      </c>
    </row>
    <row r="117" spans="2:16" ht="14.7" customHeight="1" outlineLevel="1" x14ac:dyDescent="0.3">
      <c r="B117" s="66" t="s">
        <v>155</v>
      </c>
      <c r="G117" s="169" t="s">
        <v>156</v>
      </c>
      <c r="H117" s="293">
        <f>'FS Drivers and Inputs'!G73</f>
        <v>3.3800482812797052E-2</v>
      </c>
      <c r="I117" s="294">
        <f>'FS Drivers and Inputs'!H73</f>
        <v>3.7529905807164012E-2</v>
      </c>
      <c r="J117" s="294">
        <f>'FS Drivers and Inputs'!I73</f>
        <v>3.4651355776347363E-2</v>
      </c>
      <c r="K117" s="158">
        <f>'FS Drivers and Inputs'!J73</f>
        <v>3.5327248132102806E-2</v>
      </c>
      <c r="L117" s="158">
        <f>'FS Drivers and Inputs'!K73</f>
        <v>3.5836169905204725E-2</v>
      </c>
      <c r="M117" s="158">
        <f>'FS Drivers and Inputs'!L73</f>
        <v>3.5271591271218296E-2</v>
      </c>
      <c r="N117" s="158">
        <f>'FS Drivers and Inputs'!M73</f>
        <v>3.5478336436175269E-2</v>
      </c>
      <c r="O117" s="158">
        <f>'FS Drivers and Inputs'!N73</f>
        <v>3.5528699204199432E-2</v>
      </c>
      <c r="P117" s="295">
        <f>'FS Drivers and Inputs'!O73</f>
        <v>3.5426208970530997E-2</v>
      </c>
    </row>
    <row r="118" spans="2:16" ht="14.7" customHeight="1" outlineLevel="1" x14ac:dyDescent="0.3">
      <c r="B118" s="66" t="s">
        <v>157</v>
      </c>
      <c r="G118" s="169" t="s">
        <v>156</v>
      </c>
      <c r="H118" s="293">
        <f>'FS Drivers and Inputs'!G74</f>
        <v>4.7560288826793598E-2</v>
      </c>
      <c r="I118" s="294">
        <f>'FS Drivers and Inputs'!H74</f>
        <v>5.8433019357213366E-2</v>
      </c>
      <c r="J118" s="294">
        <f>'FS Drivers and Inputs'!I74</f>
        <v>6.4672918755947439E-2</v>
      </c>
      <c r="K118" s="158">
        <f>'FS Drivers and Inputs'!J74</f>
        <v>6.3560765629956203E-2</v>
      </c>
      <c r="L118" s="158">
        <f>'FS Drivers and Inputs'!K74</f>
        <v>6.2448612503964968E-2</v>
      </c>
      <c r="M118" s="158">
        <f>'FS Drivers and Inputs'!L74</f>
        <v>6.1336459377973732E-2</v>
      </c>
      <c r="N118" s="158">
        <f>'FS Drivers and Inputs'!M74</f>
        <v>6.0224306251982496E-2</v>
      </c>
      <c r="O118" s="158">
        <f>'FS Drivers and Inputs'!N74</f>
        <v>5.911215312599126E-2</v>
      </c>
      <c r="P118" s="295">
        <f>'FS Drivers and Inputs'!O74</f>
        <v>5.8000000000000003E-2</v>
      </c>
    </row>
    <row r="119" spans="2:16" ht="14.7" customHeight="1" outlineLevel="1" x14ac:dyDescent="0.3">
      <c r="B119" s="66" t="s">
        <v>158</v>
      </c>
      <c r="G119" s="169" t="s">
        <v>156</v>
      </c>
      <c r="H119" s="296">
        <f>'FS Drivers and Inputs'!G75</f>
        <v>8.5801501526276705E-2</v>
      </c>
      <c r="I119" s="297">
        <f>'FS Drivers and Inputs'!H75</f>
        <v>8.1377256529086006E-2</v>
      </c>
      <c r="J119" s="297">
        <f>'FS Drivers and Inputs'!I75</f>
        <v>6.6630568166890419E-2</v>
      </c>
      <c r="K119" s="298">
        <f>'FS Drivers and Inputs'!J75</f>
        <v>7.7936442074084372E-2</v>
      </c>
      <c r="L119" s="298">
        <f>'FS Drivers and Inputs'!K75</f>
        <v>7.5314755590020266E-2</v>
      </c>
      <c r="M119" s="298">
        <f>'FS Drivers and Inputs'!L75</f>
        <v>7.3293921943665019E-2</v>
      </c>
      <c r="N119" s="298">
        <f>'FS Drivers and Inputs'!M75</f>
        <v>7.5515039869256548E-2</v>
      </c>
      <c r="O119" s="298">
        <f>'FS Drivers and Inputs'!N75</f>
        <v>7.470790580098062E-2</v>
      </c>
      <c r="P119" s="299">
        <f>'FS Drivers and Inputs'!O75</f>
        <v>7.45056225379674E-2</v>
      </c>
    </row>
    <row r="120" spans="2:16" ht="14.7" customHeight="1" outlineLevel="1" x14ac:dyDescent="0.3">
      <c r="G120" s="217"/>
    </row>
    <row r="121" spans="2:16" ht="14.7" customHeight="1" outlineLevel="1" x14ac:dyDescent="0.3">
      <c r="B121" s="138" t="s">
        <v>413</v>
      </c>
    </row>
    <row r="122" spans="2:16" ht="14.7" customHeight="1" outlineLevel="1" x14ac:dyDescent="0.3">
      <c r="B122" s="66" t="s">
        <v>151</v>
      </c>
      <c r="H122" s="300">
        <f>H114*H111/H110</f>
        <v>56520.878354849483</v>
      </c>
      <c r="I122" s="301">
        <f t="shared" ref="I122:P122" si="49">I114*I111/I110</f>
        <v>62593.999999999971</v>
      </c>
      <c r="J122" s="301">
        <f t="shared" si="49"/>
        <v>65028.562468685595</v>
      </c>
      <c r="K122" s="301">
        <f t="shared" si="49"/>
        <v>69615.767786893892</v>
      </c>
      <c r="L122" s="301">
        <f t="shared" si="49"/>
        <v>74764.303533737955</v>
      </c>
      <c r="M122" s="301">
        <f t="shared" si="49"/>
        <v>79481.496392113128</v>
      </c>
      <c r="N122" s="301">
        <f t="shared" si="49"/>
        <v>84758.049037622419</v>
      </c>
      <c r="O122" s="301">
        <f t="shared" si="49"/>
        <v>89956.027554772241</v>
      </c>
      <c r="P122" s="302">
        <f t="shared" si="49"/>
        <v>94847.414413152917</v>
      </c>
    </row>
    <row r="123" spans="2:16" ht="14.7" customHeight="1" outlineLevel="1" x14ac:dyDescent="0.3">
      <c r="B123" s="66" t="s">
        <v>153</v>
      </c>
      <c r="H123" s="303">
        <f>H115*H$112/H$110</f>
        <v>5549.98805522575</v>
      </c>
      <c r="I123" s="254">
        <f t="shared" ref="I123:P123" si="50">I115*I$112/I$110</f>
        <v>5918.9999999999964</v>
      </c>
      <c r="J123" s="254">
        <f t="shared" si="50"/>
        <v>4893.5301756149283</v>
      </c>
      <c r="K123" s="254">
        <f t="shared" si="50"/>
        <v>5186.9971218532828</v>
      </c>
      <c r="L123" s="254">
        <f t="shared" si="50"/>
        <v>5514.6492247706046</v>
      </c>
      <c r="M123" s="254">
        <f t="shared" si="50"/>
        <v>5857.3162959530364</v>
      </c>
      <c r="N123" s="254">
        <f t="shared" si="50"/>
        <v>6204.8442438756038</v>
      </c>
      <c r="O123" s="254">
        <f t="shared" si="50"/>
        <v>6546.4091934598846</v>
      </c>
      <c r="P123" s="304">
        <f t="shared" si="50"/>
        <v>6871.0630876442765</v>
      </c>
    </row>
    <row r="124" spans="2:16" ht="14.7" customHeight="1" outlineLevel="1" x14ac:dyDescent="0.3">
      <c r="B124" s="66" t="s">
        <v>154</v>
      </c>
      <c r="H124" s="303">
        <f t="shared" ref="H124:P124" si="51">H116*H$112/H$110</f>
        <v>14082.969690404365</v>
      </c>
      <c r="I124" s="254">
        <f t="shared" si="51"/>
        <v>13663.999999999998</v>
      </c>
      <c r="J124" s="254">
        <f t="shared" si="51"/>
        <v>13719.16175298565</v>
      </c>
      <c r="K124" s="254">
        <f t="shared" si="51"/>
        <v>15490.111783317974</v>
      </c>
      <c r="L124" s="254">
        <f t="shared" si="51"/>
        <v>16468.59077241275</v>
      </c>
      <c r="M124" s="254">
        <f t="shared" si="51"/>
        <v>17491.909488884594</v>
      </c>
      <c r="N124" s="254">
        <f t="shared" si="51"/>
        <v>18529.744412383505</v>
      </c>
      <c r="O124" s="254">
        <f t="shared" si="51"/>
        <v>19549.771824396696</v>
      </c>
      <c r="P124" s="304">
        <f t="shared" si="51"/>
        <v>20519.29715739108</v>
      </c>
    </row>
    <row r="125" spans="2:16" ht="14.7" customHeight="1" outlineLevel="1" x14ac:dyDescent="0.3">
      <c r="B125" s="66" t="s">
        <v>155</v>
      </c>
      <c r="H125" s="303">
        <f>H117*H$111</f>
        <v>9422.9797197103144</v>
      </c>
      <c r="I125" s="254">
        <f t="shared" ref="I125:P125" si="52">I117*I$111</f>
        <v>11216</v>
      </c>
      <c r="J125" s="254">
        <f t="shared" si="52"/>
        <v>10991.387092269042</v>
      </c>
      <c r="K125" s="254">
        <f t="shared" si="52"/>
        <v>11954.054805820384</v>
      </c>
      <c r="L125" s="254">
        <f t="shared" si="52"/>
        <v>12960.288603693249</v>
      </c>
      <c r="M125" s="254">
        <f t="shared" si="52"/>
        <v>13620.617033213146</v>
      </c>
      <c r="N125" s="254">
        <f t="shared" si="52"/>
        <v>14590.738256848128</v>
      </c>
      <c r="O125" s="254">
        <f t="shared" si="52"/>
        <v>15498.441413836388</v>
      </c>
      <c r="P125" s="304">
        <f t="shared" si="52"/>
        <v>16307.564657047446</v>
      </c>
    </row>
    <row r="126" spans="2:16" ht="14.7" customHeight="1" outlineLevel="1" x14ac:dyDescent="0.3">
      <c r="B126" s="66" t="s">
        <v>157</v>
      </c>
      <c r="H126" s="303">
        <f t="shared" ref="H126:P127" si="53">H118*H$111</f>
        <v>13258.971463826705</v>
      </c>
      <c r="I126" s="254">
        <f t="shared" si="53"/>
        <v>17463</v>
      </c>
      <c r="J126" s="254">
        <f t="shared" si="53"/>
        <v>20514.206977110553</v>
      </c>
      <c r="K126" s="254">
        <f t="shared" si="53"/>
        <v>21507.728906570072</v>
      </c>
      <c r="L126" s="254">
        <f t="shared" si="53"/>
        <v>22584.780770169451</v>
      </c>
      <c r="M126" s="254">
        <f t="shared" si="53"/>
        <v>23685.929476120251</v>
      </c>
      <c r="N126" s="254">
        <f t="shared" si="53"/>
        <v>24767.708339530836</v>
      </c>
      <c r="O126" s="254">
        <f t="shared" si="53"/>
        <v>25786.090191577128</v>
      </c>
      <c r="P126" s="304">
        <f t="shared" si="53"/>
        <v>26698.841834742751</v>
      </c>
    </row>
    <row r="127" spans="2:16" ht="14.7" customHeight="1" outlineLevel="1" x14ac:dyDescent="0.3">
      <c r="B127" s="66" t="s">
        <v>158</v>
      </c>
      <c r="H127" s="305">
        <f t="shared" si="53"/>
        <v>23919.948519099085</v>
      </c>
      <c r="I127" s="268">
        <f t="shared" si="53"/>
        <v>24320</v>
      </c>
      <c r="J127" s="268">
        <f t="shared" si="53"/>
        <v>21135.172073123165</v>
      </c>
      <c r="K127" s="268">
        <f t="shared" si="53"/>
        <v>26372.178677501612</v>
      </c>
      <c r="L127" s="268">
        <f t="shared" si="53"/>
        <v>27237.870875858203</v>
      </c>
      <c r="M127" s="268">
        <f t="shared" si="53"/>
        <v>28303.470460985431</v>
      </c>
      <c r="N127" s="268">
        <f t="shared" si="53"/>
        <v>31056.139939648045</v>
      </c>
      <c r="O127" s="268">
        <f t="shared" si="53"/>
        <v>32589.318695632101</v>
      </c>
      <c r="P127" s="306">
        <f t="shared" si="53"/>
        <v>34296.790205866142</v>
      </c>
    </row>
    <row r="128" spans="2:16" ht="14.7" customHeight="1" outlineLevel="1" x14ac:dyDescent="0.3"/>
    <row r="129" spans="1:16" ht="14.7" customHeight="1" outlineLevel="1" x14ac:dyDescent="0.3"/>
    <row r="130" spans="1:16" ht="14.7" customHeight="1" outlineLevel="1" x14ac:dyDescent="0.3">
      <c r="B130" s="138" t="s">
        <v>414</v>
      </c>
    </row>
    <row r="131" spans="1:16" ht="14.7" customHeight="1" outlineLevel="1" x14ac:dyDescent="0.3">
      <c r="B131" s="66" t="s">
        <v>415</v>
      </c>
      <c r="H131" s="38">
        <f>SUM(H122:H123,H125)</f>
        <v>71493.846129785554</v>
      </c>
      <c r="I131" s="38">
        <f t="shared" ref="I131:P131" si="54">SUM(I122:I123,I125)</f>
        <v>79728.999999999971</v>
      </c>
      <c r="J131" s="38">
        <f t="shared" si="54"/>
        <v>80913.47973656957</v>
      </c>
      <c r="K131" s="38">
        <f t="shared" si="54"/>
        <v>86756.819714567566</v>
      </c>
      <c r="L131" s="38">
        <f t="shared" si="54"/>
        <v>93239.241362201807</v>
      </c>
      <c r="M131" s="38">
        <f t="shared" si="54"/>
        <v>98959.429721279303</v>
      </c>
      <c r="N131" s="38">
        <f t="shared" si="54"/>
        <v>105553.63153834615</v>
      </c>
      <c r="O131" s="38">
        <f t="shared" si="54"/>
        <v>112000.87816206852</v>
      </c>
      <c r="P131" s="38">
        <f t="shared" si="54"/>
        <v>118026.04215784464</v>
      </c>
    </row>
    <row r="132" spans="1:16" ht="14.7" customHeight="1" outlineLevel="1" x14ac:dyDescent="0.3">
      <c r="B132" s="66" t="s">
        <v>416</v>
      </c>
      <c r="H132" s="238">
        <f>-SUM(H124,H126:H127)</f>
        <v>-51261.889673330152</v>
      </c>
      <c r="I132" s="238">
        <f t="shared" ref="I132:P132" si="55">-SUM(I124,I126:I127)</f>
        <v>-55447</v>
      </c>
      <c r="J132" s="238">
        <f t="shared" si="55"/>
        <v>-55368.540803219366</v>
      </c>
      <c r="K132" s="238">
        <f t="shared" si="55"/>
        <v>-63370.019367389657</v>
      </c>
      <c r="L132" s="238">
        <f t="shared" si="55"/>
        <v>-66291.242418440408</v>
      </c>
      <c r="M132" s="238">
        <f t="shared" si="55"/>
        <v>-69481.309425990272</v>
      </c>
      <c r="N132" s="238">
        <f t="shared" si="55"/>
        <v>-74353.592691562386</v>
      </c>
      <c r="O132" s="238">
        <f t="shared" si="55"/>
        <v>-77925.180711605921</v>
      </c>
      <c r="P132" s="238">
        <f t="shared" si="55"/>
        <v>-81514.929197999969</v>
      </c>
    </row>
    <row r="133" spans="1:16" ht="14.7" customHeight="1" outlineLevel="1" x14ac:dyDescent="0.3">
      <c r="B133" s="138" t="s">
        <v>414</v>
      </c>
      <c r="H133" s="263">
        <f>SUM(H131:H132)</f>
        <v>20231.956456455402</v>
      </c>
      <c r="I133" s="263">
        <f t="shared" ref="I133:P133" si="56">SUM(I131:I132)</f>
        <v>24281.999999999971</v>
      </c>
      <c r="J133" s="263">
        <f t="shared" si="56"/>
        <v>25544.938933350204</v>
      </c>
      <c r="K133" s="263">
        <f t="shared" si="56"/>
        <v>23386.800347177908</v>
      </c>
      <c r="L133" s="263">
        <f t="shared" si="56"/>
        <v>26947.998943761399</v>
      </c>
      <c r="M133" s="263">
        <f t="shared" si="56"/>
        <v>29478.120295289031</v>
      </c>
      <c r="N133" s="263">
        <f t="shared" si="56"/>
        <v>31200.038846783762</v>
      </c>
      <c r="O133" s="263">
        <f t="shared" si="56"/>
        <v>34075.697450462598</v>
      </c>
      <c r="P133" s="263">
        <f t="shared" si="56"/>
        <v>36511.112959844671</v>
      </c>
    </row>
    <row r="134" spans="1:16" ht="14.7" customHeight="1" outlineLevel="1" x14ac:dyDescent="0.3">
      <c r="H134" s="38"/>
      <c r="I134" s="38"/>
      <c r="J134" s="38"/>
      <c r="K134" s="38"/>
      <c r="L134" s="38"/>
      <c r="M134" s="38"/>
      <c r="N134" s="38"/>
      <c r="O134" s="38"/>
      <c r="P134" s="38"/>
    </row>
    <row r="135" spans="1:16" ht="14.7" customHeight="1" outlineLevel="1" thickBot="1" x14ac:dyDescent="0.35">
      <c r="B135" s="138" t="s">
        <v>388</v>
      </c>
      <c r="J135" s="284">
        <f>I133-J133</f>
        <v>-1262.9389333502331</v>
      </c>
      <c r="K135" s="284">
        <f t="shared" ref="K135:P135" si="57">J133-K133</f>
        <v>2158.1385861722956</v>
      </c>
      <c r="L135" s="284">
        <f t="shared" si="57"/>
        <v>-3561.1985965834901</v>
      </c>
      <c r="M135" s="284">
        <f t="shared" si="57"/>
        <v>-2530.1213515276322</v>
      </c>
      <c r="N135" s="284">
        <f t="shared" si="57"/>
        <v>-1721.9185514947312</v>
      </c>
      <c r="O135" s="284">
        <f t="shared" si="57"/>
        <v>-2875.6586036788358</v>
      </c>
      <c r="P135" s="284">
        <f t="shared" si="57"/>
        <v>-2435.4155093820737</v>
      </c>
    </row>
    <row r="136" spans="1:16" ht="14.7" customHeight="1" outlineLevel="1" x14ac:dyDescent="0.3"/>
    <row r="138" spans="1:16" ht="14.7" customHeight="1" x14ac:dyDescent="0.35">
      <c r="A138" s="66" t="s">
        <v>3</v>
      </c>
      <c r="B138" s="7" t="s">
        <v>417</v>
      </c>
      <c r="C138" s="7"/>
      <c r="D138" s="7"/>
      <c r="E138" s="7"/>
      <c r="F138" s="7"/>
      <c r="G138" s="45"/>
      <c r="H138" s="45"/>
      <c r="I138" s="45"/>
      <c r="J138" s="45"/>
      <c r="K138" s="45"/>
      <c r="L138" s="45"/>
      <c r="M138" s="45"/>
      <c r="N138" s="45"/>
      <c r="O138" s="45"/>
      <c r="P138" s="45"/>
    </row>
    <row r="139" spans="1:16" ht="14.7" customHeight="1" outlineLevel="1" x14ac:dyDescent="0.3"/>
    <row r="140" spans="1:16" ht="14.7" customHeight="1" outlineLevel="1" thickBot="1" x14ac:dyDescent="0.35">
      <c r="B140" s="260" t="s">
        <v>6</v>
      </c>
      <c r="J140" s="262">
        <f>J108</f>
        <v>2024</v>
      </c>
      <c r="K140" s="336">
        <f t="shared" ref="K140" si="58">J140+1</f>
        <v>2025</v>
      </c>
      <c r="L140" s="262">
        <f t="shared" ref="L140" si="59">K140+1</f>
        <v>2026</v>
      </c>
      <c r="M140" s="262">
        <f t="shared" ref="M140" si="60">L140+1</f>
        <v>2027</v>
      </c>
      <c r="N140" s="262">
        <f t="shared" ref="N140" si="61">M140+1</f>
        <v>2028</v>
      </c>
      <c r="O140" s="262">
        <f t="shared" ref="O140" si="62">N140+1</f>
        <v>2029</v>
      </c>
      <c r="P140" s="262">
        <f t="shared" ref="P140" si="63">O140+1</f>
        <v>2030</v>
      </c>
    </row>
    <row r="141" spans="1:16" ht="14.7" customHeight="1" outlineLevel="1" x14ac:dyDescent="0.3"/>
    <row r="142" spans="1:16" ht="14.7" customHeight="1" outlineLevel="1" x14ac:dyDescent="0.3">
      <c r="B142" s="134" t="s">
        <v>418</v>
      </c>
    </row>
    <row r="143" spans="1:16" ht="14.7" customHeight="1" outlineLevel="1" x14ac:dyDescent="0.3">
      <c r="B143" s="66" t="s">
        <v>419</v>
      </c>
      <c r="J143" s="29">
        <v>60028</v>
      </c>
      <c r="K143" s="254">
        <f>J145</f>
        <v>45729.333333333336</v>
      </c>
      <c r="L143" s="310"/>
      <c r="M143" s="310"/>
      <c r="N143" s="310"/>
      <c r="O143" s="310"/>
      <c r="P143" s="310"/>
    </row>
    <row r="144" spans="1:16" ht="14.7" customHeight="1" outlineLevel="1" x14ac:dyDescent="0.3">
      <c r="B144" s="66" t="s">
        <v>420</v>
      </c>
      <c r="G144" s="264" t="s">
        <v>421</v>
      </c>
      <c r="J144" s="254">
        <f>J145-J143</f>
        <v>-14298.666666666664</v>
      </c>
      <c r="K144" s="29">
        <v>0</v>
      </c>
      <c r="L144" s="310"/>
      <c r="M144" s="310"/>
      <c r="N144" s="310"/>
      <c r="O144" s="310"/>
      <c r="P144" s="310"/>
    </row>
    <row r="145" spans="1:16" ht="14.7" customHeight="1" outlineLevel="1" x14ac:dyDescent="0.3">
      <c r="B145" s="66" t="s">
        <v>422</v>
      </c>
      <c r="G145" s="340">
        <v>49304</v>
      </c>
      <c r="J145" s="254">
        <f>((G145-J143)*4/3)+J143</f>
        <v>45729.333333333336</v>
      </c>
      <c r="K145" s="29">
        <v>0</v>
      </c>
      <c r="L145" s="310"/>
      <c r="M145" s="310"/>
      <c r="N145" s="310"/>
      <c r="O145" s="310"/>
      <c r="P145" s="310"/>
    </row>
    <row r="146" spans="1:16" ht="14.7" customHeight="1" outlineLevel="1" x14ac:dyDescent="0.3"/>
    <row r="147" spans="1:16" ht="14.7" customHeight="1" outlineLevel="1" x14ac:dyDescent="0.3">
      <c r="B147" s="66" t="s">
        <v>423</v>
      </c>
      <c r="J147" s="208">
        <v>1</v>
      </c>
      <c r="K147" s="208">
        <v>0.5</v>
      </c>
      <c r="L147" s="310"/>
      <c r="M147" s="310"/>
      <c r="N147" s="310"/>
      <c r="O147" s="310"/>
      <c r="P147" s="310"/>
    </row>
    <row r="148" spans="1:16" ht="14.7" customHeight="1" outlineLevel="1" x14ac:dyDescent="0.3"/>
    <row r="149" spans="1:16" ht="14.7" customHeight="1" outlineLevel="1" x14ac:dyDescent="0.3">
      <c r="B149" s="66" t="s">
        <v>424</v>
      </c>
      <c r="J149" s="208">
        <v>2.9612201849748498E-3</v>
      </c>
      <c r="K149" s="208">
        <v>3.2112201849748495E-3</v>
      </c>
      <c r="L149" s="310"/>
      <c r="M149" s="310"/>
      <c r="N149" s="310"/>
      <c r="O149" s="310"/>
      <c r="P149" s="310"/>
    </row>
    <row r="150" spans="1:16" ht="14.7" customHeight="1" outlineLevel="1" x14ac:dyDescent="0.3">
      <c r="G150" s="264" t="s">
        <v>425</v>
      </c>
      <c r="J150" s="208"/>
    </row>
    <row r="151" spans="1:16" ht="14.7" customHeight="1" outlineLevel="1" x14ac:dyDescent="0.3">
      <c r="B151" s="66" t="s">
        <v>192</v>
      </c>
      <c r="G151" s="312">
        <v>1</v>
      </c>
      <c r="J151" s="311">
        <f>IF($G$151=1,-AVERAGE(J143,J145)*J149,J149*J145*-1)</f>
        <v>-156.5853750878901</v>
      </c>
      <c r="K151" s="311">
        <f>-(K143*K147*K149)</f>
        <v>-73.423479122721616</v>
      </c>
      <c r="L151" s="310"/>
      <c r="M151" s="310"/>
      <c r="N151" s="310"/>
      <c r="O151" s="310"/>
      <c r="P151" s="310"/>
    </row>
    <row r="152" spans="1:16" ht="14.7" customHeight="1" outlineLevel="1" x14ac:dyDescent="0.3"/>
    <row r="154" spans="1:16" ht="14.7" customHeight="1" x14ac:dyDescent="0.35">
      <c r="A154" s="66" t="s">
        <v>3</v>
      </c>
      <c r="B154" s="7" t="s">
        <v>426</v>
      </c>
      <c r="C154" s="7"/>
      <c r="D154" s="7"/>
      <c r="E154" s="7"/>
      <c r="F154" s="7"/>
      <c r="G154" s="45"/>
      <c r="H154" s="45"/>
      <c r="I154" s="45"/>
      <c r="J154" s="45"/>
      <c r="K154" s="45"/>
      <c r="L154" s="45"/>
      <c r="M154" s="45"/>
      <c r="N154" s="45"/>
      <c r="O154" s="45"/>
      <c r="P154" s="45"/>
    </row>
    <row r="155" spans="1:16" ht="14.7" customHeight="1" outlineLevel="1" x14ac:dyDescent="0.3"/>
    <row r="156" spans="1:16" ht="14.7" customHeight="1" outlineLevel="1" thickBot="1" x14ac:dyDescent="0.35">
      <c r="B156" s="260" t="s">
        <v>6</v>
      </c>
      <c r="K156" s="336">
        <f>K94</f>
        <v>2025</v>
      </c>
      <c r="L156" s="262">
        <f t="shared" ref="L156:P156" si="64">K156+1</f>
        <v>2026</v>
      </c>
      <c r="M156" s="262">
        <f t="shared" si="64"/>
        <v>2027</v>
      </c>
      <c r="N156" s="262">
        <f t="shared" si="64"/>
        <v>2028</v>
      </c>
      <c r="O156" s="262">
        <f t="shared" si="64"/>
        <v>2029</v>
      </c>
      <c r="P156" s="262">
        <f t="shared" si="64"/>
        <v>2030</v>
      </c>
    </row>
    <row r="157" spans="1:16" ht="14.7" customHeight="1" outlineLevel="1" x14ac:dyDescent="0.3"/>
    <row r="158" spans="1:16" ht="14.7" customHeight="1" outlineLevel="1" x14ac:dyDescent="0.3">
      <c r="B158" s="134" t="s">
        <v>16</v>
      </c>
    </row>
    <row r="159" spans="1:16" ht="14.7" customHeight="1" outlineLevel="1" x14ac:dyDescent="0.3">
      <c r="B159" s="66" t="s">
        <v>427</v>
      </c>
      <c r="G159" s="264" t="s">
        <v>428</v>
      </c>
      <c r="K159" s="240">
        <f>'FS Transaction Details'!I30</f>
        <v>10000</v>
      </c>
      <c r="L159" s="38">
        <f ca="1">L86</f>
        <v>13519.630462657369</v>
      </c>
      <c r="M159" s="38">
        <f ca="1">M86</f>
        <v>10000.000000000002</v>
      </c>
      <c r="N159" s="38">
        <f ca="1">N86</f>
        <v>10000.000000000002</v>
      </c>
      <c r="O159" s="38">
        <f ca="1">O86</f>
        <v>10000.000000000002</v>
      </c>
      <c r="P159" s="38">
        <f ca="1">P86</f>
        <v>10000.000000000002</v>
      </c>
    </row>
    <row r="160" spans="1:16" ht="14.7" customHeight="1" outlineLevel="1" x14ac:dyDescent="0.3">
      <c r="B160" s="66" t="s">
        <v>429</v>
      </c>
      <c r="G160" s="339">
        <v>0.5</v>
      </c>
      <c r="K160" s="38">
        <f ca="1">K68*G160</f>
        <v>10667.96679320214</v>
      </c>
      <c r="L160" s="38">
        <f ca="1">L68</f>
        <v>13936.006801156125</v>
      </c>
      <c r="M160" s="38">
        <f ca="1">M68</f>
        <v>18069.788973612689</v>
      </c>
      <c r="N160" s="38">
        <f ca="1">N68</f>
        <v>22269.693095524526</v>
      </c>
      <c r="O160" s="38">
        <f ca="1">O68</f>
        <v>24747.016096292329</v>
      </c>
      <c r="P160" s="38">
        <f ca="1">P68</f>
        <v>30990.038152430676</v>
      </c>
    </row>
    <row r="161" spans="2:16" ht="14.7" customHeight="1" outlineLevel="1" x14ac:dyDescent="0.3">
      <c r="B161" s="66" t="s">
        <v>430</v>
      </c>
      <c r="K161" s="38">
        <f>K73*G160</f>
        <v>-7148.3363305447729</v>
      </c>
      <c r="L161" s="38">
        <f>L73</f>
        <v>-14972.548700735206</v>
      </c>
      <c r="M161" s="38">
        <f>M73</f>
        <v>-15659.011911678383</v>
      </c>
      <c r="N161" s="38">
        <f>N73</f>
        <v>-16326.975044324416</v>
      </c>
      <c r="O161" s="38">
        <f>O73</f>
        <v>-16947.293729799683</v>
      </c>
      <c r="P161" s="38">
        <f>P73</f>
        <v>-17492.344650348699</v>
      </c>
    </row>
    <row r="162" spans="2:16" ht="14.7" customHeight="1" outlineLevel="1" x14ac:dyDescent="0.3">
      <c r="B162" s="66" t="s">
        <v>431</v>
      </c>
      <c r="K162" s="38">
        <f t="shared" ref="K162:P162" si="65">K199+K214</f>
        <v>-5080.640926424554</v>
      </c>
      <c r="L162" s="38">
        <f t="shared" ca="1" si="65"/>
        <v>-4992.2516938689487</v>
      </c>
      <c r="M162" s="38">
        <f t="shared" ca="1" si="65"/>
        <v>-9810.9960202094535</v>
      </c>
      <c r="N162" s="38">
        <f t="shared" ca="1" si="65"/>
        <v>-9470.3979258491763</v>
      </c>
      <c r="O162" s="38">
        <f t="shared" ca="1" si="65"/>
        <v>-9142.3869203343493</v>
      </c>
      <c r="P162" s="38">
        <f t="shared" ca="1" si="65"/>
        <v>-8826.480256809733</v>
      </c>
    </row>
    <row r="163" spans="2:16" ht="14.7" customHeight="1" outlineLevel="1" x14ac:dyDescent="0.3">
      <c r="B163" s="66" t="s">
        <v>188</v>
      </c>
      <c r="K163" s="38">
        <f>K81</f>
        <v>0</v>
      </c>
      <c r="L163" s="254">
        <f t="shared" ref="L163:P163" si="66">L81</f>
        <v>0</v>
      </c>
      <c r="M163" s="254">
        <f t="shared" si="66"/>
        <v>0</v>
      </c>
      <c r="N163" s="254">
        <f t="shared" si="66"/>
        <v>0</v>
      </c>
      <c r="O163" s="254">
        <f t="shared" si="66"/>
        <v>0</v>
      </c>
      <c r="P163" s="254">
        <f t="shared" si="66"/>
        <v>0</v>
      </c>
    </row>
    <row r="164" spans="2:16" ht="14.7" customHeight="1" outlineLevel="1" x14ac:dyDescent="0.3">
      <c r="B164" s="66" t="s">
        <v>432</v>
      </c>
      <c r="K164" s="38">
        <f>K82</f>
        <v>0</v>
      </c>
      <c r="L164" s="254">
        <f t="shared" ref="L164:P164" si="67">L82</f>
        <v>0</v>
      </c>
      <c r="M164" s="254">
        <f t="shared" si="67"/>
        <v>0</v>
      </c>
      <c r="N164" s="254">
        <f t="shared" si="67"/>
        <v>0</v>
      </c>
      <c r="O164" s="254">
        <f t="shared" si="67"/>
        <v>0</v>
      </c>
      <c r="P164" s="254">
        <f t="shared" si="67"/>
        <v>0</v>
      </c>
    </row>
    <row r="165" spans="2:16" ht="14.7" customHeight="1" outlineLevel="1" x14ac:dyDescent="0.3">
      <c r="B165" s="66" t="s">
        <v>100</v>
      </c>
      <c r="K165" s="239">
        <f>-'FS Transaction Details'!$I$30</f>
        <v>-10000</v>
      </c>
      <c r="L165" s="239">
        <f>-'FS Transaction Details'!$I$30</f>
        <v>-10000</v>
      </c>
      <c r="M165" s="239">
        <f>-'FS Transaction Details'!$I$30</f>
        <v>-10000</v>
      </c>
      <c r="N165" s="239">
        <f>-'FS Transaction Details'!$I$30</f>
        <v>-10000</v>
      </c>
      <c r="O165" s="239">
        <f>-'FS Transaction Details'!$I$30</f>
        <v>-10000</v>
      </c>
      <c r="P165" s="239">
        <f>-'FS Transaction Details'!$I$30</f>
        <v>-10000</v>
      </c>
    </row>
    <row r="166" spans="2:16" ht="14.7" customHeight="1" outlineLevel="1" x14ac:dyDescent="0.3">
      <c r="B166" s="138" t="s">
        <v>433</v>
      </c>
      <c r="C166" s="138"/>
      <c r="D166" s="138"/>
      <c r="E166" s="138"/>
      <c r="F166" s="138"/>
      <c r="G166" s="138"/>
      <c r="K166" s="263">
        <f t="shared" ref="K166:P166" ca="1" si="68">SUM(K159:K165)</f>
        <v>-1561.0104637671866</v>
      </c>
      <c r="L166" s="263">
        <f ca="1">SUM(L159:L165)</f>
        <v>-2509.1631307906619</v>
      </c>
      <c r="M166" s="263">
        <f t="shared" ca="1" si="68"/>
        <v>-7400.2189582751471</v>
      </c>
      <c r="N166" s="263">
        <f t="shared" ca="1" si="68"/>
        <v>-3527.6798746490658</v>
      </c>
      <c r="O166" s="263">
        <f t="shared" ca="1" si="68"/>
        <v>-1342.6645538416997</v>
      </c>
      <c r="P166" s="263">
        <f t="shared" ca="1" si="68"/>
        <v>4671.2132452722471</v>
      </c>
    </row>
    <row r="167" spans="2:16" ht="14.7" customHeight="1" outlineLevel="1" x14ac:dyDescent="0.3"/>
    <row r="168" spans="2:16" ht="14.7" customHeight="1" outlineLevel="1" x14ac:dyDescent="0.3">
      <c r="B168" s="134" t="s">
        <v>434</v>
      </c>
      <c r="K168" s="38"/>
      <c r="L168" s="38"/>
      <c r="M168" s="38"/>
      <c r="N168" s="38"/>
      <c r="O168" s="38"/>
      <c r="P168" s="38"/>
    </row>
    <row r="169" spans="2:16" ht="14.7" customHeight="1" outlineLevel="1" x14ac:dyDescent="0.3">
      <c r="B169" s="66" t="s">
        <v>435</v>
      </c>
      <c r="K169" s="240">
        <f>'FS Transaction Details'!D39</f>
        <v>55678.256727940316</v>
      </c>
      <c r="L169" s="38">
        <f ca="1">K171</f>
        <v>57239.267191707506</v>
      </c>
      <c r="M169" s="38">
        <f ca="1">L171</f>
        <v>59748.43032249817</v>
      </c>
      <c r="N169" s="38">
        <f ca="1">M171</f>
        <v>67148.649280773316</v>
      </c>
      <c r="O169" s="38">
        <f ca="1">N171</f>
        <v>70676.329155422383</v>
      </c>
      <c r="P169" s="38">
        <f ca="1">O171</f>
        <v>72018.99370926409</v>
      </c>
    </row>
    <row r="170" spans="2:16" ht="14.7" customHeight="1" outlineLevel="1" x14ac:dyDescent="0.3">
      <c r="B170" s="66" t="s">
        <v>436</v>
      </c>
      <c r="K170" s="238">
        <f t="shared" ref="K170:P170" ca="1" si="69">-MIN(K169,K166)</f>
        <v>1561.0104637671866</v>
      </c>
      <c r="L170" s="238">
        <f t="shared" ca="1" si="69"/>
        <v>2509.1631307906619</v>
      </c>
      <c r="M170" s="238">
        <f t="shared" ca="1" si="69"/>
        <v>7400.2189582751471</v>
      </c>
      <c r="N170" s="238">
        <f t="shared" ca="1" si="69"/>
        <v>3527.6798746490658</v>
      </c>
      <c r="O170" s="238">
        <f t="shared" ca="1" si="69"/>
        <v>1342.6645538416997</v>
      </c>
      <c r="P170" s="238">
        <f t="shared" ca="1" si="69"/>
        <v>-4671.2132452722471</v>
      </c>
    </row>
    <row r="171" spans="2:16" ht="14.7" customHeight="1" outlineLevel="1" x14ac:dyDescent="0.3">
      <c r="B171" s="66" t="s">
        <v>437</v>
      </c>
      <c r="K171" s="263">
        <f t="shared" ref="K171:P171" ca="1" si="70">SUM(K169:K170)</f>
        <v>57239.267191707506</v>
      </c>
      <c r="L171" s="263">
        <f t="shared" ca="1" si="70"/>
        <v>59748.43032249817</v>
      </c>
      <c r="M171" s="263">
        <f t="shared" ca="1" si="70"/>
        <v>67148.649280773316</v>
      </c>
      <c r="N171" s="263">
        <f t="shared" ca="1" si="70"/>
        <v>70676.329155422383</v>
      </c>
      <c r="O171" s="263">
        <f t="shared" ca="1" si="70"/>
        <v>72018.99370926409</v>
      </c>
      <c r="P171" s="263">
        <f t="shared" ca="1" si="70"/>
        <v>67347.780463991847</v>
      </c>
    </row>
    <row r="172" spans="2:16" ht="14.7" customHeight="1" outlineLevel="1" x14ac:dyDescent="0.3">
      <c r="K172" s="263"/>
      <c r="M172" s="263"/>
      <c r="N172" s="263"/>
      <c r="O172" s="263"/>
      <c r="P172" s="263"/>
    </row>
    <row r="173" spans="2:16" ht="14.7" customHeight="1" outlineLevel="1" x14ac:dyDescent="0.3">
      <c r="B173" s="66" t="s">
        <v>438</v>
      </c>
      <c r="K173" s="313">
        <f t="shared" ref="K173:P173" ca="1" si="71">IF(K171&gt;$G$181,1,0)</f>
        <v>0</v>
      </c>
      <c r="L173" s="314">
        <f t="shared" ca="1" si="71"/>
        <v>0</v>
      </c>
      <c r="M173" s="314">
        <f t="shared" ca="1" si="71"/>
        <v>0</v>
      </c>
      <c r="N173" s="314">
        <f t="shared" ca="1" si="71"/>
        <v>0</v>
      </c>
      <c r="O173" s="314">
        <f t="shared" ca="1" si="71"/>
        <v>0</v>
      </c>
      <c r="P173" s="315">
        <f t="shared" ca="1" si="71"/>
        <v>0</v>
      </c>
    </row>
    <row r="174" spans="2:16" ht="14.7" customHeight="1" outlineLevel="1" x14ac:dyDescent="0.3">
      <c r="K174" s="38"/>
      <c r="M174" s="38"/>
      <c r="N174" s="38"/>
      <c r="O174" s="38"/>
      <c r="P174" s="38"/>
    </row>
    <row r="175" spans="2:16" ht="14.7" customHeight="1" outlineLevel="1" x14ac:dyDescent="0.3">
      <c r="B175" s="66" t="s">
        <v>185</v>
      </c>
      <c r="G175" s="264" t="s">
        <v>425</v>
      </c>
      <c r="K175" s="158">
        <f>'FS Drivers and Inputs'!J84</f>
        <v>6.6992916666666676E-3</v>
      </c>
      <c r="L175" s="158">
        <f>'FS Drivers and Inputs'!K84</f>
        <v>1.4118866666666667E-2</v>
      </c>
      <c r="M175" s="158">
        <f>'FS Drivers and Inputs'!L84</f>
        <v>1.4839150000000001E-2</v>
      </c>
      <c r="N175" s="158">
        <f>'FS Drivers and Inputs'!M84</f>
        <v>1.5559433333333334E-2</v>
      </c>
      <c r="O175" s="158">
        <f>'FS Drivers and Inputs'!N84</f>
        <v>1.6279716666666666E-2</v>
      </c>
      <c r="P175" s="158">
        <f>'FS Drivers and Inputs'!O84</f>
        <v>1.7000000000000001E-2</v>
      </c>
    </row>
    <row r="176" spans="2:16" ht="14.7" customHeight="1" outlineLevel="1" x14ac:dyDescent="0.3">
      <c r="B176" s="66" t="s">
        <v>192</v>
      </c>
      <c r="G176" s="312">
        <v>1</v>
      </c>
      <c r="K176" s="329">
        <f t="shared" ref="K176:P176" ca="1" si="72">-IF($G$176=1,AVERAGE(K169,K171)*K175,K171*K175)</f>
        <v>-378.2337135077654</v>
      </c>
      <c r="L176" s="329">
        <f t="shared" ca="1" si="72"/>
        <v>-825.86685142170074</v>
      </c>
      <c r="M176" s="329">
        <f t="shared" ca="1" si="72"/>
        <v>-941.52239939744311</v>
      </c>
      <c r="N176" s="329">
        <f t="shared" ca="1" si="72"/>
        <v>-1072.2392818230458</v>
      </c>
      <c r="O176" s="329">
        <f t="shared" ca="1" si="72"/>
        <v>-1161.5197129478088</v>
      </c>
      <c r="P176" s="329">
        <f t="shared" ca="1" si="72"/>
        <v>-1184.6175804726756</v>
      </c>
    </row>
    <row r="177" spans="1:16" ht="14.7" customHeight="1" outlineLevel="1" x14ac:dyDescent="0.3">
      <c r="K177" s="38"/>
      <c r="L177" s="38"/>
      <c r="M177" s="38"/>
      <c r="N177" s="38"/>
      <c r="O177" s="38"/>
      <c r="P177" s="38"/>
    </row>
    <row r="178" spans="1:16" ht="14.7" customHeight="1" outlineLevel="1" x14ac:dyDescent="0.3">
      <c r="B178" s="134" t="s">
        <v>439</v>
      </c>
      <c r="K178" s="38"/>
      <c r="L178" s="38"/>
      <c r="M178" s="38"/>
      <c r="N178" s="38"/>
      <c r="O178" s="38"/>
      <c r="P178" s="38"/>
    </row>
    <row r="179" spans="1:16" ht="14.7" customHeight="1" outlineLevel="1" x14ac:dyDescent="0.3">
      <c r="B179" s="66" t="s">
        <v>435</v>
      </c>
      <c r="K179" s="254">
        <f>G181-K169</f>
        <v>19321.743272059684</v>
      </c>
      <c r="L179" s="38">
        <f ca="1">K181</f>
        <v>17760.732808292498</v>
      </c>
      <c r="M179" s="38">
        <f ca="1">L181</f>
        <v>15251.569677501837</v>
      </c>
      <c r="N179" s="38">
        <f ca="1">M181</f>
        <v>7851.3507192266898</v>
      </c>
      <c r="O179" s="38">
        <f ca="1">N181</f>
        <v>4323.6708445776239</v>
      </c>
      <c r="P179" s="38">
        <f ca="1">O181</f>
        <v>2981.0062907359243</v>
      </c>
    </row>
    <row r="180" spans="1:16" ht="14.7" customHeight="1" outlineLevel="1" x14ac:dyDescent="0.3">
      <c r="B180" s="66" t="s">
        <v>440</v>
      </c>
      <c r="G180" s="264" t="s">
        <v>441</v>
      </c>
      <c r="K180" s="238">
        <f t="shared" ref="K180:P180" ca="1" si="73">-K170</f>
        <v>-1561.0104637671866</v>
      </c>
      <c r="L180" s="238">
        <f t="shared" ca="1" si="73"/>
        <v>-2509.1631307906619</v>
      </c>
      <c r="M180" s="238">
        <f t="shared" ca="1" si="73"/>
        <v>-7400.2189582751471</v>
      </c>
      <c r="N180" s="238">
        <f t="shared" ca="1" si="73"/>
        <v>-3527.6798746490658</v>
      </c>
      <c r="O180" s="238">
        <f t="shared" ca="1" si="73"/>
        <v>-1342.6645538416997</v>
      </c>
      <c r="P180" s="238">
        <f t="shared" ca="1" si="73"/>
        <v>4671.2132452722471</v>
      </c>
    </row>
    <row r="181" spans="1:16" ht="14.7" customHeight="1" outlineLevel="1" x14ac:dyDescent="0.3">
      <c r="B181" s="66" t="s">
        <v>437</v>
      </c>
      <c r="G181" s="316">
        <f>'FS Transaction Details'!F39</f>
        <v>75000</v>
      </c>
      <c r="K181" s="38">
        <f t="shared" ref="K181:P181" ca="1" si="74">SUM(K179:K180)</f>
        <v>17760.732808292498</v>
      </c>
      <c r="L181" s="38">
        <f t="shared" ca="1" si="74"/>
        <v>15251.569677501837</v>
      </c>
      <c r="M181" s="38">
        <f t="shared" ca="1" si="74"/>
        <v>7851.3507192266898</v>
      </c>
      <c r="N181" s="38">
        <f t="shared" ca="1" si="74"/>
        <v>4323.6708445776239</v>
      </c>
      <c r="O181" s="38">
        <f t="shared" ca="1" si="74"/>
        <v>2981.0062907359243</v>
      </c>
      <c r="P181" s="38">
        <f t="shared" ca="1" si="74"/>
        <v>7652.2195360081714</v>
      </c>
    </row>
    <row r="182" spans="1:16" ht="14.7" customHeight="1" outlineLevel="1" x14ac:dyDescent="0.3">
      <c r="K182" s="38"/>
      <c r="L182" s="38"/>
      <c r="M182" s="38"/>
      <c r="N182" s="38"/>
      <c r="O182" s="38"/>
      <c r="P182" s="38"/>
    </row>
    <row r="183" spans="1:16" ht="14.7" customHeight="1" outlineLevel="1" x14ac:dyDescent="0.3">
      <c r="B183" s="66" t="s">
        <v>442</v>
      </c>
      <c r="G183" s="264" t="s">
        <v>425</v>
      </c>
      <c r="K183" s="330">
        <f>'FS Transaction Details'!$I$39/2</f>
        <v>5.0000000000000001E-4</v>
      </c>
      <c r="L183" s="330">
        <f>'FS Transaction Details'!$I$39</f>
        <v>1E-3</v>
      </c>
      <c r="M183" s="330">
        <f>'FS Transaction Details'!$I$39</f>
        <v>1E-3</v>
      </c>
      <c r="N183" s="330">
        <f>'FS Transaction Details'!$I$39</f>
        <v>1E-3</v>
      </c>
      <c r="O183" s="330">
        <f>'FS Transaction Details'!$I$39</f>
        <v>1E-3</v>
      </c>
      <c r="P183" s="330">
        <f>'FS Transaction Details'!$I$39</f>
        <v>1E-3</v>
      </c>
    </row>
    <row r="184" spans="1:16" ht="14.7" customHeight="1" outlineLevel="1" x14ac:dyDescent="0.3">
      <c r="B184" s="66" t="s">
        <v>443</v>
      </c>
      <c r="G184" s="312">
        <v>1</v>
      </c>
      <c r="K184" s="324">
        <f t="shared" ref="K184:P184" ca="1" si="75">-IF(AND(K181&gt;=0,K179&gt;=0),IF($G$184=1,K183*AVERAGE(K179,K181),K183*K181),0)</f>
        <v>-9.2706190200880449</v>
      </c>
      <c r="L184" s="263">
        <f t="shared" ca="1" si="75"/>
        <v>-16.506151242897168</v>
      </c>
      <c r="M184" s="263">
        <f t="shared" ca="1" si="75"/>
        <v>-11.551460198364264</v>
      </c>
      <c r="N184" s="263">
        <f t="shared" ca="1" si="75"/>
        <v>-6.0875107819021572</v>
      </c>
      <c r="O184" s="263">
        <f t="shared" ca="1" si="75"/>
        <v>-3.6523385676567743</v>
      </c>
      <c r="P184" s="263">
        <f t="shared" ca="1" si="75"/>
        <v>-5.3166129133720483</v>
      </c>
    </row>
    <row r="185" spans="1:16" ht="14.7" customHeight="1" outlineLevel="1" x14ac:dyDescent="0.3">
      <c r="K185" s="38"/>
      <c r="L185" s="38"/>
      <c r="M185" s="38"/>
      <c r="N185" s="38"/>
      <c r="O185" s="38"/>
      <c r="P185" s="38"/>
    </row>
    <row r="186" spans="1:16" ht="14.7" customHeight="1" outlineLevel="1" x14ac:dyDescent="0.3">
      <c r="B186" s="66" t="s">
        <v>444</v>
      </c>
      <c r="K186" s="317">
        <f t="shared" ref="K186:P186" ca="1" si="76">K170+K166</f>
        <v>0</v>
      </c>
      <c r="L186" s="318">
        <f ca="1">L170+L166</f>
        <v>0</v>
      </c>
      <c r="M186" s="318">
        <f t="shared" ca="1" si="76"/>
        <v>0</v>
      </c>
      <c r="N186" s="318">
        <f t="shared" ca="1" si="76"/>
        <v>0</v>
      </c>
      <c r="O186" s="318">
        <f t="shared" ca="1" si="76"/>
        <v>0</v>
      </c>
      <c r="P186" s="319">
        <f t="shared" ca="1" si="76"/>
        <v>0</v>
      </c>
    </row>
    <row r="187" spans="1:16" ht="14.7" customHeight="1" outlineLevel="1" x14ac:dyDescent="0.3"/>
    <row r="189" spans="1:16" ht="14.7" customHeight="1" x14ac:dyDescent="0.35">
      <c r="A189" s="66" t="s">
        <v>3</v>
      </c>
      <c r="B189" s="7" t="s">
        <v>445</v>
      </c>
      <c r="C189" s="7"/>
      <c r="D189" s="7"/>
      <c r="E189" s="7"/>
      <c r="F189" s="7"/>
      <c r="G189" s="45"/>
      <c r="H189" s="45"/>
      <c r="I189" s="45"/>
      <c r="J189" s="45"/>
      <c r="K189" s="45"/>
      <c r="L189" s="45"/>
      <c r="M189" s="45"/>
      <c r="N189" s="45"/>
      <c r="O189" s="45"/>
      <c r="P189" s="45"/>
    </row>
    <row r="190" spans="1:16" ht="14.7" customHeight="1" outlineLevel="1" x14ac:dyDescent="0.3"/>
    <row r="191" spans="1:16" ht="14.7" customHeight="1" outlineLevel="1" thickBot="1" x14ac:dyDescent="0.35">
      <c r="B191" s="260" t="s">
        <v>6</v>
      </c>
      <c r="K191" s="336">
        <f>K156</f>
        <v>2025</v>
      </c>
      <c r="L191" s="262">
        <f t="shared" ref="L191" si="77">K191+1</f>
        <v>2026</v>
      </c>
      <c r="M191" s="262">
        <f t="shared" ref="M191" si="78">L191+1</f>
        <v>2027</v>
      </c>
      <c r="N191" s="262">
        <f t="shared" ref="N191" si="79">M191+1</f>
        <v>2028</v>
      </c>
      <c r="O191" s="262">
        <f t="shared" ref="O191" si="80">N191+1</f>
        <v>2029</v>
      </c>
      <c r="P191" s="262">
        <f t="shared" ref="P191" si="81">O191+1</f>
        <v>2030</v>
      </c>
    </row>
    <row r="192" spans="1:16" ht="14.7" customHeight="1" outlineLevel="1" x14ac:dyDescent="0.3"/>
    <row r="193" spans="2:16" ht="14.7" customHeight="1" outlineLevel="1" x14ac:dyDescent="0.3">
      <c r="B193" s="134" t="s">
        <v>19</v>
      </c>
      <c r="H193" s="38"/>
      <c r="I193" s="38"/>
      <c r="J193" s="38"/>
      <c r="K193" s="38"/>
      <c r="L193" s="38"/>
      <c r="M193" s="38"/>
    </row>
    <row r="194" spans="2:16" ht="14.7" customHeight="1" outlineLevel="1" x14ac:dyDescent="0.3">
      <c r="B194" s="66" t="s">
        <v>446</v>
      </c>
      <c r="K194" s="331">
        <f>'FS Transaction Details'!F50</f>
        <v>0.02</v>
      </c>
      <c r="L194" s="244">
        <f>'FS Transaction Details'!G50</f>
        <v>0.02</v>
      </c>
      <c r="M194" s="244">
        <f>'FS Transaction Details'!H50</f>
        <v>0.04</v>
      </c>
      <c r="N194" s="244">
        <f>'FS Transaction Details'!I50</f>
        <v>0.04</v>
      </c>
      <c r="O194" s="244">
        <f>'FS Transaction Details'!J50</f>
        <v>0.04</v>
      </c>
      <c r="P194" s="245">
        <f>'FS Transaction Details'!K50</f>
        <v>0.04</v>
      </c>
    </row>
    <row r="195" spans="2:16" ht="14.7" customHeight="1" outlineLevel="1" x14ac:dyDescent="0.3">
      <c r="B195" s="66" t="s">
        <v>444</v>
      </c>
      <c r="K195" s="280">
        <f t="shared" ref="K195:P195" ca="1" si="82">K186</f>
        <v>0</v>
      </c>
      <c r="L195" s="38">
        <f t="shared" ca="1" si="82"/>
        <v>0</v>
      </c>
      <c r="M195" s="38">
        <f t="shared" ca="1" si="82"/>
        <v>0</v>
      </c>
      <c r="N195" s="38">
        <f t="shared" ca="1" si="82"/>
        <v>0</v>
      </c>
      <c r="O195" s="38">
        <f t="shared" ca="1" si="82"/>
        <v>0</v>
      </c>
      <c r="P195" s="281">
        <f t="shared" ca="1" si="82"/>
        <v>0</v>
      </c>
    </row>
    <row r="196" spans="2:16" ht="14.7" customHeight="1" outlineLevel="1" x14ac:dyDescent="0.3">
      <c r="B196" s="66" t="s">
        <v>447</v>
      </c>
      <c r="K196" s="326">
        <f t="shared" ref="K196:P196" ca="1" si="83">IF(K195&gt;0,1,0)</f>
        <v>0</v>
      </c>
      <c r="L196" s="327">
        <f t="shared" ca="1" si="83"/>
        <v>0</v>
      </c>
      <c r="M196" s="327">
        <f t="shared" ca="1" si="83"/>
        <v>0</v>
      </c>
      <c r="N196" s="327">
        <f t="shared" ca="1" si="83"/>
        <v>0</v>
      </c>
      <c r="O196" s="327">
        <f t="shared" ca="1" si="83"/>
        <v>0</v>
      </c>
      <c r="P196" s="328">
        <f t="shared" ca="1" si="83"/>
        <v>0</v>
      </c>
    </row>
    <row r="197" spans="2:16" ht="14.7" customHeight="1" outlineLevel="1" x14ac:dyDescent="0.3">
      <c r="K197" s="38"/>
      <c r="L197" s="38"/>
      <c r="M197" s="38"/>
      <c r="N197" s="38"/>
      <c r="O197" s="38"/>
      <c r="P197" s="38"/>
    </row>
    <row r="198" spans="2:16" ht="14.7" customHeight="1" outlineLevel="1" x14ac:dyDescent="0.3">
      <c r="B198" s="66" t="s">
        <v>448</v>
      </c>
      <c r="K198" s="240">
        <f>'FS Transaction Details'!J9</f>
        <v>187914.11645679857</v>
      </c>
      <c r="L198" s="38">
        <f ca="1">K201</f>
        <v>184155.83412766259</v>
      </c>
      <c r="M198" s="38">
        <f ca="1">L201</f>
        <v>180472.71744510933</v>
      </c>
      <c r="N198" s="38">
        <f ca="1">M201</f>
        <v>173253.80874730495</v>
      </c>
      <c r="O198" s="38">
        <f ca="1">N201</f>
        <v>166323.65639741276</v>
      </c>
      <c r="P198" s="38">
        <f ca="1">O201</f>
        <v>159670.71014151626</v>
      </c>
    </row>
    <row r="199" spans="2:16" ht="14.7" customHeight="1" outlineLevel="1" x14ac:dyDescent="0.3">
      <c r="B199" s="66" t="s">
        <v>449</v>
      </c>
      <c r="G199" s="264" t="s">
        <v>450</v>
      </c>
      <c r="K199" s="38">
        <f t="shared" ref="K199:P199" si="84">-K198*K194</f>
        <v>-3758.2823291359714</v>
      </c>
      <c r="L199" s="38">
        <f t="shared" ca="1" si="84"/>
        <v>-3683.1166825532518</v>
      </c>
      <c r="M199" s="38">
        <f t="shared" ca="1" si="84"/>
        <v>-7218.9086978043733</v>
      </c>
      <c r="N199" s="38">
        <f t="shared" ca="1" si="84"/>
        <v>-6930.1523498921979</v>
      </c>
      <c r="O199" s="38">
        <f t="shared" ca="1" si="84"/>
        <v>-6652.9462558965106</v>
      </c>
      <c r="P199" s="38">
        <f t="shared" ca="1" si="84"/>
        <v>-6386.8284056606508</v>
      </c>
    </row>
    <row r="200" spans="2:16" ht="14.7" customHeight="1" outlineLevel="1" x14ac:dyDescent="0.3">
      <c r="B200" s="66" t="s">
        <v>451</v>
      </c>
      <c r="G200" s="325">
        <v>0.5</v>
      </c>
      <c r="K200" s="241">
        <f t="shared" ref="K200:P200" ca="1" si="85">-MIN(K195*$G$200,K198+K199)*K196</f>
        <v>0</v>
      </c>
      <c r="L200" s="238">
        <f t="shared" ca="1" si="85"/>
        <v>0</v>
      </c>
      <c r="M200" s="238">
        <f t="shared" ca="1" si="85"/>
        <v>0</v>
      </c>
      <c r="N200" s="238">
        <f t="shared" ca="1" si="85"/>
        <v>0</v>
      </c>
      <c r="O200" s="238">
        <f t="shared" ca="1" si="85"/>
        <v>0</v>
      </c>
      <c r="P200" s="238">
        <f t="shared" ca="1" si="85"/>
        <v>0</v>
      </c>
    </row>
    <row r="201" spans="2:16" ht="14.7" customHeight="1" outlineLevel="1" x14ac:dyDescent="0.3">
      <c r="B201" s="66" t="s">
        <v>452</v>
      </c>
      <c r="K201" s="38">
        <f t="shared" ref="K201:P201" ca="1" si="86">SUM(K198:K200)</f>
        <v>184155.83412766259</v>
      </c>
      <c r="L201" s="38">
        <f t="shared" ca="1" si="86"/>
        <v>180472.71744510933</v>
      </c>
      <c r="M201" s="38">
        <f t="shared" ca="1" si="86"/>
        <v>173253.80874730495</v>
      </c>
      <c r="N201" s="38">
        <f t="shared" ca="1" si="86"/>
        <v>166323.65639741276</v>
      </c>
      <c r="O201" s="38">
        <f t="shared" ca="1" si="86"/>
        <v>159670.71014151626</v>
      </c>
      <c r="P201" s="38">
        <f t="shared" ca="1" si="86"/>
        <v>153283.8817358556</v>
      </c>
    </row>
    <row r="202" spans="2:16" ht="14.7" customHeight="1" outlineLevel="1" x14ac:dyDescent="0.3">
      <c r="K202" s="38"/>
      <c r="L202" s="38"/>
      <c r="M202" s="38"/>
      <c r="N202" s="38"/>
      <c r="O202" s="38"/>
      <c r="P202" s="38"/>
    </row>
    <row r="203" spans="2:16" ht="14.7" customHeight="1" outlineLevel="1" x14ac:dyDescent="0.3">
      <c r="B203" s="66" t="s">
        <v>185</v>
      </c>
      <c r="G203" s="264" t="s">
        <v>425</v>
      </c>
      <c r="K203" s="158">
        <f>'FS Drivers and Inputs'!J87</f>
        <v>9.1992916666666681E-3</v>
      </c>
      <c r="L203" s="158">
        <f>'FS Drivers and Inputs'!K87</f>
        <v>1.9118866666666668E-2</v>
      </c>
      <c r="M203" s="158">
        <f>'FS Drivers and Inputs'!L87</f>
        <v>1.983915E-2</v>
      </c>
      <c r="N203" s="158">
        <f>'FS Drivers and Inputs'!M87</f>
        <v>2.0559433333333335E-2</v>
      </c>
      <c r="O203" s="158">
        <f>'FS Drivers and Inputs'!N87</f>
        <v>2.1279716666666667E-2</v>
      </c>
      <c r="P203" s="158">
        <f>'FS Drivers and Inputs'!O87</f>
        <v>2.1999999999999999E-2</v>
      </c>
    </row>
    <row r="204" spans="2:16" ht="14.7" customHeight="1" outlineLevel="1" x14ac:dyDescent="0.3">
      <c r="B204" s="66" t="s">
        <v>192</v>
      </c>
      <c r="G204" s="312">
        <v>1</v>
      </c>
      <c r="K204" s="329">
        <f t="shared" ref="K204:P204" ca="1" si="87">-IF($G$204=1,AVERAGE(K201,K198)*K203,K201*K203)</f>
        <v>-1711.3899979143562</v>
      </c>
      <c r="L204" s="329">
        <f t="shared" ca="1" si="87"/>
        <v>-3485.6423301898085</v>
      </c>
      <c r="M204" s="329">
        <f t="shared" ca="1" si="87"/>
        <v>-3508.8168060551179</v>
      </c>
      <c r="N204" s="329">
        <f t="shared" ca="1" si="87"/>
        <v>-3490.7601280725739</v>
      </c>
      <c r="O204" s="329">
        <f t="shared" ca="1" si="87"/>
        <v>-3468.5338774389456</v>
      </c>
      <c r="P204" s="329">
        <f t="shared" ca="1" si="87"/>
        <v>-3442.5005106510907</v>
      </c>
    </row>
    <row r="205" spans="2:16" ht="14.7" customHeight="1" outlineLevel="1" x14ac:dyDescent="0.3"/>
    <row r="206" spans="2:16" ht="14.7" customHeight="1" outlineLevel="1" thickBot="1" x14ac:dyDescent="0.35">
      <c r="B206" s="260" t="s">
        <v>6</v>
      </c>
      <c r="K206" s="336">
        <f>K191</f>
        <v>2025</v>
      </c>
      <c r="L206" s="262">
        <f t="shared" ref="L206" si="88">K206+1</f>
        <v>2026</v>
      </c>
      <c r="M206" s="262">
        <f t="shared" ref="M206" si="89">L206+1</f>
        <v>2027</v>
      </c>
      <c r="N206" s="262">
        <f t="shared" ref="N206" si="90">M206+1</f>
        <v>2028</v>
      </c>
      <c r="O206" s="262">
        <f t="shared" ref="O206" si="91">N206+1</f>
        <v>2029</v>
      </c>
      <c r="P206" s="262">
        <f t="shared" ref="P206" si="92">O206+1</f>
        <v>2030</v>
      </c>
    </row>
    <row r="207" spans="2:16" ht="14.7" customHeight="1" outlineLevel="1" x14ac:dyDescent="0.3"/>
    <row r="208" spans="2:16" ht="14.7" customHeight="1" outlineLevel="1" x14ac:dyDescent="0.3">
      <c r="B208" s="134" t="s">
        <v>21</v>
      </c>
      <c r="H208" s="38"/>
      <c r="I208" s="38"/>
      <c r="J208" s="38"/>
      <c r="K208" s="38"/>
      <c r="L208" s="38"/>
      <c r="M208" s="38"/>
    </row>
    <row r="209" spans="1:16" ht="14.7" customHeight="1" outlineLevel="1" x14ac:dyDescent="0.3">
      <c r="B209" s="66" t="s">
        <v>446</v>
      </c>
      <c r="K209" s="331">
        <f>'FS Transaction Details'!F51</f>
        <v>0.01</v>
      </c>
      <c r="L209" s="244">
        <f>'FS Transaction Details'!G51</f>
        <v>0.01</v>
      </c>
      <c r="M209" s="244">
        <f>'FS Transaction Details'!H51</f>
        <v>0.02</v>
      </c>
      <c r="N209" s="244">
        <f>'FS Transaction Details'!I51</f>
        <v>0.02</v>
      </c>
      <c r="O209" s="244">
        <f>'FS Transaction Details'!J51</f>
        <v>0.02</v>
      </c>
      <c r="P209" s="245">
        <f>'FS Transaction Details'!K51</f>
        <v>0.02</v>
      </c>
    </row>
    <row r="210" spans="1:16" ht="14.7" customHeight="1" outlineLevel="1" x14ac:dyDescent="0.3">
      <c r="B210" s="66" t="s">
        <v>453</v>
      </c>
      <c r="K210" s="280">
        <f t="shared" ref="K210:P210" ca="1" si="93">K195+K200</f>
        <v>0</v>
      </c>
      <c r="L210" s="38">
        <f t="shared" ca="1" si="93"/>
        <v>0</v>
      </c>
      <c r="M210" s="38">
        <f t="shared" ca="1" si="93"/>
        <v>0</v>
      </c>
      <c r="N210" s="38">
        <f t="shared" ca="1" si="93"/>
        <v>0</v>
      </c>
      <c r="O210" s="38">
        <f t="shared" ca="1" si="93"/>
        <v>0</v>
      </c>
      <c r="P210" s="281">
        <f t="shared" ca="1" si="93"/>
        <v>0</v>
      </c>
    </row>
    <row r="211" spans="1:16" ht="14.7" customHeight="1" outlineLevel="1" x14ac:dyDescent="0.3">
      <c r="B211" s="66" t="s">
        <v>447</v>
      </c>
      <c r="K211" s="326">
        <f t="shared" ref="K211:P211" ca="1" si="94">IF(K210&gt;0,1,0)</f>
        <v>0</v>
      </c>
      <c r="L211" s="327">
        <f t="shared" ca="1" si="94"/>
        <v>0</v>
      </c>
      <c r="M211" s="327">
        <f t="shared" ca="1" si="94"/>
        <v>0</v>
      </c>
      <c r="N211" s="327">
        <f t="shared" ca="1" si="94"/>
        <v>0</v>
      </c>
      <c r="O211" s="327">
        <f t="shared" ca="1" si="94"/>
        <v>0</v>
      </c>
      <c r="P211" s="328">
        <f t="shared" ca="1" si="94"/>
        <v>0</v>
      </c>
    </row>
    <row r="212" spans="1:16" ht="14.7" customHeight="1" outlineLevel="1" x14ac:dyDescent="0.3">
      <c r="K212" s="38"/>
      <c r="L212" s="38"/>
      <c r="M212" s="38"/>
      <c r="N212" s="38"/>
      <c r="O212" s="38"/>
      <c r="P212" s="38"/>
    </row>
    <row r="213" spans="1:16" ht="14.7" customHeight="1" outlineLevel="1" x14ac:dyDescent="0.3">
      <c r="B213" s="66" t="s">
        <v>448</v>
      </c>
      <c r="K213" s="240">
        <f>'FS Transaction Details'!D41</f>
        <v>132235.85972885825</v>
      </c>
      <c r="L213" s="38">
        <f ca="1">K216</f>
        <v>130913.50113156968</v>
      </c>
      <c r="M213" s="38">
        <f ca="1">L216</f>
        <v>129604.36612025398</v>
      </c>
      <c r="N213" s="38">
        <f ca="1">M216</f>
        <v>127012.27879784891</v>
      </c>
      <c r="O213" s="38">
        <f ca="1">N216</f>
        <v>124472.03322189194</v>
      </c>
      <c r="P213" s="38">
        <f ca="1">O216</f>
        <v>121982.5925574541</v>
      </c>
    </row>
    <row r="214" spans="1:16" ht="14.7" customHeight="1" outlineLevel="1" x14ac:dyDescent="0.3">
      <c r="B214" s="66" t="s">
        <v>449</v>
      </c>
      <c r="G214" s="264" t="s">
        <v>450</v>
      </c>
      <c r="K214" s="38">
        <f t="shared" ref="K214:P214" si="95">-K213*K209</f>
        <v>-1322.3585972885826</v>
      </c>
      <c r="L214" s="38">
        <f t="shared" ca="1" si="95"/>
        <v>-1309.1350113156968</v>
      </c>
      <c r="M214" s="38">
        <f t="shared" ca="1" si="95"/>
        <v>-2592.0873224050797</v>
      </c>
      <c r="N214" s="38">
        <f t="shared" ca="1" si="95"/>
        <v>-2540.245575956978</v>
      </c>
      <c r="O214" s="38">
        <f t="shared" ca="1" si="95"/>
        <v>-2489.4406644378387</v>
      </c>
      <c r="P214" s="38">
        <f t="shared" ca="1" si="95"/>
        <v>-2439.6518511490822</v>
      </c>
    </row>
    <row r="215" spans="1:16" ht="14.7" customHeight="1" outlineLevel="1" x14ac:dyDescent="0.3">
      <c r="B215" s="66" t="s">
        <v>451</v>
      </c>
      <c r="G215" s="325">
        <f>'FS Transaction Details'!E51</f>
        <v>1</v>
      </c>
      <c r="K215" s="241">
        <f t="shared" ref="K215:P215" ca="1" si="96">-MIN(K210*$G$215,K213+K214)*K211</f>
        <v>0</v>
      </c>
      <c r="L215" s="238">
        <f t="shared" ca="1" si="96"/>
        <v>0</v>
      </c>
      <c r="M215" s="238">
        <f t="shared" ca="1" si="96"/>
        <v>0</v>
      </c>
      <c r="N215" s="238">
        <f t="shared" ca="1" si="96"/>
        <v>0</v>
      </c>
      <c r="O215" s="238">
        <f t="shared" ca="1" si="96"/>
        <v>0</v>
      </c>
      <c r="P215" s="238">
        <f t="shared" ca="1" si="96"/>
        <v>0</v>
      </c>
    </row>
    <row r="216" spans="1:16" ht="14.7" customHeight="1" outlineLevel="1" x14ac:dyDescent="0.3">
      <c r="B216" s="66" t="s">
        <v>452</v>
      </c>
      <c r="K216" s="38">
        <f t="shared" ref="K216:P216" ca="1" si="97">SUM(K213:K215)</f>
        <v>130913.50113156968</v>
      </c>
      <c r="L216" s="38">
        <f t="shared" ca="1" si="97"/>
        <v>129604.36612025398</v>
      </c>
      <c r="M216" s="38">
        <f t="shared" ca="1" si="97"/>
        <v>127012.27879784891</v>
      </c>
      <c r="N216" s="38">
        <f t="shared" ca="1" si="97"/>
        <v>124472.03322189194</v>
      </c>
      <c r="O216" s="38">
        <f t="shared" ca="1" si="97"/>
        <v>121982.5925574541</v>
      </c>
      <c r="P216" s="38">
        <f t="shared" ca="1" si="97"/>
        <v>119542.94070630502</v>
      </c>
    </row>
    <row r="217" spans="1:16" ht="14.7" customHeight="1" outlineLevel="1" x14ac:dyDescent="0.3">
      <c r="K217" s="38"/>
      <c r="L217" s="38"/>
      <c r="M217" s="38"/>
      <c r="N217" s="38"/>
      <c r="O217" s="38"/>
      <c r="P217" s="38"/>
    </row>
    <row r="218" spans="1:16" ht="14.7" customHeight="1" outlineLevel="1" x14ac:dyDescent="0.3">
      <c r="B218" s="66" t="s">
        <v>185</v>
      </c>
      <c r="G218" s="264" t="s">
        <v>425</v>
      </c>
      <c r="K218" s="158">
        <f>'FS Drivers and Inputs'!J90</f>
        <v>1.0949291666666668E-2</v>
      </c>
      <c r="L218" s="158">
        <f>'FS Drivers and Inputs'!K90</f>
        <v>2.2618866666666668E-2</v>
      </c>
      <c r="M218" s="158">
        <f>'FS Drivers and Inputs'!L90</f>
        <v>2.3339149999999999E-2</v>
      </c>
      <c r="N218" s="158">
        <f>'FS Drivers and Inputs'!M90</f>
        <v>2.4059433333333335E-2</v>
      </c>
      <c r="O218" s="158">
        <f>'FS Drivers and Inputs'!N90</f>
        <v>2.4779716666666667E-2</v>
      </c>
      <c r="P218" s="158">
        <f>'FS Drivers and Inputs'!O90</f>
        <v>2.5499999999999998E-2</v>
      </c>
    </row>
    <row r="219" spans="1:16" ht="14.7" customHeight="1" outlineLevel="1" x14ac:dyDescent="0.3">
      <c r="B219" s="66" t="s">
        <v>192</v>
      </c>
      <c r="G219" s="312">
        <v>1</v>
      </c>
      <c r="K219" s="329">
        <f t="shared" ref="K219:P219" ca="1" si="98">-IF($G$219=1,AVERAGE(K216,K213)*K218,K216*K218)</f>
        <v>-1440.6495519788718</v>
      </c>
      <c r="L219" s="329">
        <f t="shared" ca="1" si="98"/>
        <v>-2946.309451826683</v>
      </c>
      <c r="M219" s="329">
        <f t="shared" ca="1" si="98"/>
        <v>-2994.6071841201706</v>
      </c>
      <c r="N219" s="329">
        <f t="shared" ca="1" si="98"/>
        <v>-3025.285019709077</v>
      </c>
      <c r="O219" s="329">
        <f t="shared" ca="1" si="98"/>
        <v>-3053.5378990007785</v>
      </c>
      <c r="P219" s="329">
        <f t="shared" ca="1" si="98"/>
        <v>-3079.4505491129285</v>
      </c>
    </row>
    <row r="220" spans="1:16" ht="14.7" customHeight="1" outlineLevel="1" x14ac:dyDescent="0.3"/>
    <row r="222" spans="1:16" ht="14.7" customHeight="1" x14ac:dyDescent="0.35">
      <c r="A222" s="66" t="s">
        <v>3</v>
      </c>
      <c r="B222" s="7" t="s">
        <v>454</v>
      </c>
      <c r="C222" s="7"/>
      <c r="D222" s="7"/>
      <c r="E222" s="7"/>
      <c r="F222" s="7"/>
      <c r="G222" s="45"/>
      <c r="H222" s="45"/>
      <c r="I222" s="45"/>
      <c r="J222" s="45"/>
      <c r="K222" s="45"/>
      <c r="L222" s="45"/>
      <c r="M222" s="45"/>
      <c r="N222" s="45"/>
      <c r="O222" s="45"/>
      <c r="P222" s="45"/>
    </row>
    <row r="223" spans="1:16" ht="14.7" customHeight="1" outlineLevel="1" x14ac:dyDescent="0.3"/>
    <row r="224" spans="1:16" ht="14.7" customHeight="1" outlineLevel="1" thickBot="1" x14ac:dyDescent="0.35">
      <c r="B224" s="260" t="s">
        <v>6</v>
      </c>
      <c r="K224" s="336">
        <f>K191</f>
        <v>2025</v>
      </c>
      <c r="L224" s="262">
        <f t="shared" ref="L224" si="99">K224+1</f>
        <v>2026</v>
      </c>
      <c r="M224" s="262">
        <f t="shared" ref="M224" si="100">L224+1</f>
        <v>2027</v>
      </c>
      <c r="N224" s="262">
        <f t="shared" ref="N224" si="101">M224+1</f>
        <v>2028</v>
      </c>
      <c r="O224" s="262">
        <f t="shared" ref="O224" si="102">N224+1</f>
        <v>2029</v>
      </c>
      <c r="P224" s="262">
        <f t="shared" ref="P224" si="103">O224+1</f>
        <v>2030</v>
      </c>
    </row>
    <row r="225" spans="2:16" ht="14.7" customHeight="1" outlineLevel="1" x14ac:dyDescent="0.3"/>
    <row r="226" spans="2:16" ht="14.7" customHeight="1" outlineLevel="1" x14ac:dyDescent="0.3">
      <c r="B226" s="134" t="s">
        <v>455</v>
      </c>
    </row>
    <row r="227" spans="2:16" ht="14.7" customHeight="1" outlineLevel="1" x14ac:dyDescent="0.3">
      <c r="B227" s="66" t="s">
        <v>435</v>
      </c>
      <c r="K227" s="240">
        <f>'FS Transaction Details'!D42</f>
        <v>104396.7313648881</v>
      </c>
      <c r="L227" s="38">
        <f ca="1">K229</f>
        <v>107093.22835126911</v>
      </c>
      <c r="M227" s="38">
        <f ca="1">L229</f>
        <v>112697.90217981167</v>
      </c>
      <c r="N227" s="38">
        <f ca="1">M229</f>
        <v>118595.89398193624</v>
      </c>
      <c r="O227" s="38">
        <f ca="1">N229</f>
        <v>124802.5544160858</v>
      </c>
      <c r="P227" s="38">
        <f ca="1">O229</f>
        <v>131334.03751020625</v>
      </c>
    </row>
    <row r="228" spans="2:16" ht="14.7" customHeight="1" outlineLevel="1" x14ac:dyDescent="0.3">
      <c r="B228" s="66" t="s">
        <v>456</v>
      </c>
      <c r="K228" s="194">
        <f t="shared" ref="K228:P228" ca="1" si="104">K238</f>
        <v>2696.4969863810043</v>
      </c>
      <c r="L228" s="194">
        <f t="shared" ca="1" si="104"/>
        <v>5604.6738285425599</v>
      </c>
      <c r="M228" s="194">
        <f t="shared" ca="1" si="104"/>
        <v>5897.9918021245712</v>
      </c>
      <c r="N228" s="194">
        <f t="shared" ca="1" si="104"/>
        <v>6206.6604341495613</v>
      </c>
      <c r="O228" s="194">
        <f t="shared" ca="1" si="104"/>
        <v>6531.4830941204473</v>
      </c>
      <c r="P228" s="194">
        <f t="shared" ca="1" si="104"/>
        <v>6873.30519550592</v>
      </c>
    </row>
    <row r="229" spans="2:16" ht="14.7" customHeight="1" outlineLevel="1" x14ac:dyDescent="0.3">
      <c r="B229" s="66" t="s">
        <v>437</v>
      </c>
      <c r="K229" s="263">
        <f t="shared" ref="K229:P229" ca="1" si="105">SUM(K227:K228)</f>
        <v>107093.22835126911</v>
      </c>
      <c r="L229" s="263">
        <f t="shared" ca="1" si="105"/>
        <v>112697.90217981167</v>
      </c>
      <c r="M229" s="263">
        <f t="shared" ca="1" si="105"/>
        <v>118595.89398193624</v>
      </c>
      <c r="N229" s="263">
        <f t="shared" ca="1" si="105"/>
        <v>124802.5544160858</v>
      </c>
      <c r="O229" s="263">
        <f t="shared" ca="1" si="105"/>
        <v>131334.03751020625</v>
      </c>
      <c r="P229" s="263">
        <f t="shared" ca="1" si="105"/>
        <v>138207.34270571219</v>
      </c>
    </row>
    <row r="230" spans="2:16" ht="14.7" customHeight="1" outlineLevel="1" x14ac:dyDescent="0.3"/>
    <row r="231" spans="2:16" ht="14.7" customHeight="1" outlineLevel="1" x14ac:dyDescent="0.3">
      <c r="B231" s="66" t="s">
        <v>185</v>
      </c>
      <c r="K231" s="158">
        <f>'FS Drivers and Inputs'!J93</f>
        <v>4.2500000000000003E-2</v>
      </c>
      <c r="L231" s="158">
        <f>'FS Drivers and Inputs'!K93</f>
        <v>8.5000000000000006E-2</v>
      </c>
      <c r="M231" s="158">
        <f>'FS Drivers and Inputs'!L93</f>
        <v>8.5000000000000006E-2</v>
      </c>
      <c r="N231" s="158">
        <f>'FS Drivers and Inputs'!M93</f>
        <v>8.5000000000000006E-2</v>
      </c>
      <c r="O231" s="158">
        <f>'FS Drivers and Inputs'!N93</f>
        <v>8.5000000000000006E-2</v>
      </c>
      <c r="P231" s="158">
        <f>'FS Drivers and Inputs'!O93</f>
        <v>8.5000000000000006E-2</v>
      </c>
    </row>
    <row r="232" spans="2:16" ht="14.7" customHeight="1" outlineLevel="1" x14ac:dyDescent="0.3"/>
    <row r="233" spans="2:16" ht="14.7" customHeight="1" outlineLevel="1" x14ac:dyDescent="0.3">
      <c r="B233" s="66" t="s">
        <v>457</v>
      </c>
      <c r="K233" s="143">
        <f>1-K234</f>
        <v>0.4</v>
      </c>
      <c r="L233" s="143">
        <f t="shared" ref="L233:P233" si="106">1-L234</f>
        <v>0.4</v>
      </c>
      <c r="M233" s="143">
        <f t="shared" si="106"/>
        <v>0.4</v>
      </c>
      <c r="N233" s="143">
        <f t="shared" si="106"/>
        <v>0.4</v>
      </c>
      <c r="O233" s="143">
        <f t="shared" si="106"/>
        <v>0.4</v>
      </c>
      <c r="P233" s="143">
        <f t="shared" si="106"/>
        <v>0.4</v>
      </c>
    </row>
    <row r="234" spans="2:16" ht="14.7" customHeight="1" outlineLevel="1" x14ac:dyDescent="0.3">
      <c r="B234" s="66" t="s">
        <v>458</v>
      </c>
      <c r="K234" s="251">
        <f>'FS Transaction Details'!$D$52</f>
        <v>0.6</v>
      </c>
      <c r="L234" s="251">
        <f>'FS Transaction Details'!$D$52</f>
        <v>0.6</v>
      </c>
      <c r="M234" s="251">
        <f>'FS Transaction Details'!$D$52</f>
        <v>0.6</v>
      </c>
      <c r="N234" s="251">
        <f>'FS Transaction Details'!$D$52</f>
        <v>0.6</v>
      </c>
      <c r="O234" s="251">
        <f>'FS Transaction Details'!$D$52</f>
        <v>0.6</v>
      </c>
      <c r="P234" s="251">
        <f>'FS Transaction Details'!$D$52</f>
        <v>0.6</v>
      </c>
    </row>
    <row r="235" spans="2:16" ht="14.7" customHeight="1" outlineLevel="1" x14ac:dyDescent="0.3">
      <c r="B235" s="66" t="s">
        <v>459</v>
      </c>
      <c r="K235" s="143">
        <f>SUM(K233:K234)</f>
        <v>1</v>
      </c>
      <c r="L235" s="143">
        <f t="shared" ref="L235:P235" si="107">SUM(L233:L234)</f>
        <v>1</v>
      </c>
      <c r="M235" s="143">
        <f t="shared" si="107"/>
        <v>1</v>
      </c>
      <c r="N235" s="143">
        <f t="shared" si="107"/>
        <v>1</v>
      </c>
      <c r="O235" s="143">
        <f t="shared" si="107"/>
        <v>1</v>
      </c>
      <c r="P235" s="143">
        <f t="shared" si="107"/>
        <v>1</v>
      </c>
    </row>
    <row r="236" spans="2:16" ht="14.7" customHeight="1" outlineLevel="1" x14ac:dyDescent="0.3"/>
    <row r="237" spans="2:16" ht="14.7" customHeight="1" outlineLevel="1" x14ac:dyDescent="0.3">
      <c r="B237" s="66" t="s">
        <v>460</v>
      </c>
      <c r="G237" s="264" t="s">
        <v>425</v>
      </c>
      <c r="K237" s="38">
        <f t="shared" ref="K237:P237" ca="1" si="108">IF($G$238=1,AVERAGE(K227,K229)*K233*K231,K229*K233*K231)</f>
        <v>1797.6646575873365</v>
      </c>
      <c r="L237" s="38">
        <f t="shared" ca="1" si="108"/>
        <v>3736.4492190283736</v>
      </c>
      <c r="M237" s="38">
        <f t="shared" ca="1" si="108"/>
        <v>3931.9945347497151</v>
      </c>
      <c r="N237" s="38">
        <f t="shared" ca="1" si="108"/>
        <v>4137.7736227663754</v>
      </c>
      <c r="O237" s="38">
        <f t="shared" ca="1" si="108"/>
        <v>4354.3220627469655</v>
      </c>
      <c r="P237" s="38">
        <f t="shared" ca="1" si="108"/>
        <v>4582.2034636706139</v>
      </c>
    </row>
    <row r="238" spans="2:16" ht="14.7" customHeight="1" outlineLevel="1" x14ac:dyDescent="0.3">
      <c r="B238" s="66" t="s">
        <v>461</v>
      </c>
      <c r="G238" s="312">
        <v>1</v>
      </c>
      <c r="K238" s="194">
        <f t="shared" ref="K238:P238" ca="1" si="109">IF($G$238=1,AVERAGE(K229,K227)*K234*K231,K234*K231*K229)</f>
        <v>2696.4969863810043</v>
      </c>
      <c r="L238" s="194">
        <f t="shared" ca="1" si="109"/>
        <v>5604.6738285425599</v>
      </c>
      <c r="M238" s="194">
        <f t="shared" ca="1" si="109"/>
        <v>5897.9918021245712</v>
      </c>
      <c r="N238" s="194">
        <f t="shared" ca="1" si="109"/>
        <v>6206.6604341495613</v>
      </c>
      <c r="O238" s="194">
        <f t="shared" ca="1" si="109"/>
        <v>6531.4830941204473</v>
      </c>
      <c r="P238" s="194">
        <f t="shared" ca="1" si="109"/>
        <v>6873.30519550592</v>
      </c>
    </row>
    <row r="239" spans="2:16" ht="14.7" customHeight="1" outlineLevel="1" x14ac:dyDescent="0.3">
      <c r="B239" s="66" t="s">
        <v>462</v>
      </c>
      <c r="K239" s="263">
        <f t="shared" ref="K239:P239" ca="1" si="110">SUM(K237:K238)</f>
        <v>4494.1616439683403</v>
      </c>
      <c r="L239" s="263">
        <f t="shared" ca="1" si="110"/>
        <v>9341.1230475709344</v>
      </c>
      <c r="M239" s="263">
        <f t="shared" ca="1" si="110"/>
        <v>9829.9863368742863</v>
      </c>
      <c r="N239" s="263">
        <f t="shared" ca="1" si="110"/>
        <v>10344.434056915936</v>
      </c>
      <c r="O239" s="263">
        <f t="shared" ca="1" si="110"/>
        <v>10885.805156867413</v>
      </c>
      <c r="P239" s="263">
        <f t="shared" ca="1" si="110"/>
        <v>11455.508659176534</v>
      </c>
    </row>
    <row r="240" spans="2:16" ht="14.7" customHeight="1" outlineLevel="1" x14ac:dyDescent="0.3"/>
    <row r="241" spans="2:16" ht="14.7" customHeight="1" outlineLevel="1" x14ac:dyDescent="0.3">
      <c r="B241" s="66" t="s">
        <v>463</v>
      </c>
      <c r="K241" s="38">
        <f t="shared" ref="K241:P242" ca="1" si="111">-K237</f>
        <v>-1797.6646575873365</v>
      </c>
      <c r="L241" s="38">
        <f t="shared" ca="1" si="111"/>
        <v>-3736.4492190283736</v>
      </c>
      <c r="M241" s="38">
        <f t="shared" ca="1" si="111"/>
        <v>-3931.9945347497151</v>
      </c>
      <c r="N241" s="38">
        <f t="shared" ca="1" si="111"/>
        <v>-4137.7736227663754</v>
      </c>
      <c r="O241" s="38">
        <f t="shared" ca="1" si="111"/>
        <v>-4354.3220627469655</v>
      </c>
      <c r="P241" s="38">
        <f t="shared" ca="1" si="111"/>
        <v>-4582.2034636706139</v>
      </c>
    </row>
    <row r="242" spans="2:16" ht="14.7" customHeight="1" outlineLevel="1" x14ac:dyDescent="0.3">
      <c r="B242" s="66" t="s">
        <v>464</v>
      </c>
      <c r="K242" s="194">
        <f t="shared" ca="1" si="111"/>
        <v>-2696.4969863810043</v>
      </c>
      <c r="L242" s="194">
        <f t="shared" ca="1" si="111"/>
        <v>-5604.6738285425599</v>
      </c>
      <c r="M242" s="194">
        <f t="shared" ca="1" si="111"/>
        <v>-5897.9918021245712</v>
      </c>
      <c r="N242" s="194">
        <f t="shared" ca="1" si="111"/>
        <v>-6206.6604341495613</v>
      </c>
      <c r="O242" s="194">
        <f t="shared" ca="1" si="111"/>
        <v>-6531.4830941204473</v>
      </c>
      <c r="P242" s="194">
        <f t="shared" ca="1" si="111"/>
        <v>-6873.30519550592</v>
      </c>
    </row>
    <row r="243" spans="2:16" ht="14.7" customHeight="1" outlineLevel="1" x14ac:dyDescent="0.3">
      <c r="B243" s="138" t="s">
        <v>465</v>
      </c>
      <c r="K243" s="263">
        <f t="shared" ref="K243:P243" ca="1" si="112">SUM(K241:K242)</f>
        <v>-4494.1616439683403</v>
      </c>
      <c r="L243" s="263">
        <f t="shared" ca="1" si="112"/>
        <v>-9341.1230475709344</v>
      </c>
      <c r="M243" s="263">
        <f t="shared" ca="1" si="112"/>
        <v>-9829.9863368742863</v>
      </c>
      <c r="N243" s="263">
        <f t="shared" ca="1" si="112"/>
        <v>-10344.434056915936</v>
      </c>
      <c r="O243" s="263">
        <f t="shared" ca="1" si="112"/>
        <v>-10885.805156867413</v>
      </c>
      <c r="P243" s="263">
        <f t="shared" ca="1" si="112"/>
        <v>-11455.508659176534</v>
      </c>
    </row>
    <row r="244" spans="2:16" ht="14.7" customHeight="1" outlineLevel="1" x14ac:dyDescent="0.3"/>
    <row r="245" spans="2:16" ht="14.7" customHeight="1" outlineLevel="1" x14ac:dyDescent="0.3"/>
    <row r="246" spans="2:16" ht="14.7" customHeight="1" outlineLevel="1" thickBot="1" x14ac:dyDescent="0.35">
      <c r="B246" s="260" t="s">
        <v>6</v>
      </c>
      <c r="J246" s="262">
        <f>J140</f>
        <v>2024</v>
      </c>
      <c r="K246" s="336">
        <f t="shared" ref="K246" si="113">J246+1</f>
        <v>2025</v>
      </c>
      <c r="L246" s="262">
        <f t="shared" ref="L246" si="114">K246+1</f>
        <v>2026</v>
      </c>
      <c r="M246" s="262">
        <f t="shared" ref="M246" si="115">L246+1</f>
        <v>2027</v>
      </c>
      <c r="N246" s="262">
        <f t="shared" ref="N246" si="116">M246+1</f>
        <v>2028</v>
      </c>
      <c r="O246" s="262">
        <f t="shared" ref="O246" si="117">N246+1</f>
        <v>2029</v>
      </c>
      <c r="P246" s="262">
        <f t="shared" ref="P246" si="118">O246+1</f>
        <v>2030</v>
      </c>
    </row>
    <row r="247" spans="2:16" ht="14.7" customHeight="1" outlineLevel="1" x14ac:dyDescent="0.3"/>
    <row r="248" spans="2:16" ht="14.7" customHeight="1" outlineLevel="1" x14ac:dyDescent="0.3">
      <c r="B248" s="134" t="s">
        <v>466</v>
      </c>
    </row>
    <row r="249" spans="2:16" ht="14.7" customHeight="1" outlineLevel="1" x14ac:dyDescent="0.3">
      <c r="B249" s="66" t="s">
        <v>403</v>
      </c>
      <c r="J249" s="38">
        <f t="shared" ref="J249" si="119">J86</f>
        <v>43424</v>
      </c>
      <c r="K249" s="38">
        <f t="shared" ref="K249:P249" ca="1" si="120">K86</f>
        <v>33455.306910255698</v>
      </c>
      <c r="L249" s="38">
        <f t="shared" ca="1" si="120"/>
        <v>13519.630462657369</v>
      </c>
      <c r="M249" s="38">
        <f t="shared" ca="1" si="120"/>
        <v>10000.000000000002</v>
      </c>
      <c r="N249" s="38">
        <f t="shared" ca="1" si="120"/>
        <v>10000.000000000002</v>
      </c>
      <c r="O249" s="38">
        <f t="shared" ca="1" si="120"/>
        <v>10000.000000000002</v>
      </c>
      <c r="P249" s="38">
        <f t="shared" ca="1" si="120"/>
        <v>10000.000000000002</v>
      </c>
    </row>
    <row r="250" spans="2:16" ht="14.7" customHeight="1" outlineLevel="1" x14ac:dyDescent="0.3">
      <c r="B250" s="66" t="s">
        <v>406</v>
      </c>
      <c r="J250" s="38">
        <f t="shared" ref="J250:P250" ca="1" si="121">J88</f>
        <v>33455.306910255698</v>
      </c>
      <c r="K250" s="38">
        <f t="shared" ca="1" si="121"/>
        <v>13519.630462657369</v>
      </c>
      <c r="L250" s="38">
        <f t="shared" ca="1" si="121"/>
        <v>10000.000000000002</v>
      </c>
      <c r="M250" s="38">
        <f t="shared" ca="1" si="121"/>
        <v>10000.000000000002</v>
      </c>
      <c r="N250" s="38">
        <f t="shared" ca="1" si="121"/>
        <v>10000.000000000002</v>
      </c>
      <c r="O250" s="38">
        <f t="shared" ca="1" si="121"/>
        <v>10000.000000000002</v>
      </c>
      <c r="P250" s="38">
        <f t="shared" ca="1" si="121"/>
        <v>10000.000000000002</v>
      </c>
    </row>
    <row r="251" spans="2:16" ht="14.7" customHeight="1" outlineLevel="1" x14ac:dyDescent="0.3"/>
    <row r="252" spans="2:16" ht="14.7" customHeight="1" outlineLevel="1" x14ac:dyDescent="0.3">
      <c r="B252" s="66" t="s">
        <v>101</v>
      </c>
      <c r="J252" s="334">
        <f>'FS Transaction Details'!$I$31</f>
        <v>1.5E-3</v>
      </c>
      <c r="K252" s="334">
        <f>'FS Transaction Details'!$I$31</f>
        <v>1.5E-3</v>
      </c>
      <c r="L252" s="334">
        <f>'FS Transaction Details'!$I$31</f>
        <v>1.5E-3</v>
      </c>
      <c r="M252" s="334">
        <f>'FS Transaction Details'!$I$31</f>
        <v>1.5E-3</v>
      </c>
      <c r="N252" s="334">
        <f>'FS Transaction Details'!$I$31</f>
        <v>1.5E-3</v>
      </c>
      <c r="O252" s="334">
        <f>'FS Transaction Details'!$I$31</f>
        <v>1.5E-3</v>
      </c>
      <c r="P252" s="334">
        <f>'FS Transaction Details'!$I$31</f>
        <v>1.5E-3</v>
      </c>
    </row>
    <row r="253" spans="2:16" ht="14.7" customHeight="1" outlineLevel="1" x14ac:dyDescent="0.3">
      <c r="G253" s="264" t="s">
        <v>425</v>
      </c>
    </row>
    <row r="254" spans="2:16" ht="14.7" customHeight="1" outlineLevel="1" x14ac:dyDescent="0.3">
      <c r="B254" s="66" t="s">
        <v>467</v>
      </c>
      <c r="G254" s="312">
        <v>1</v>
      </c>
      <c r="J254" s="329">
        <f t="shared" ref="J254:P254" ca="1" si="122">IF($G$254=1,AVERAGE(J250,J249)*J252,J250*J252)</f>
        <v>57.659480182691766</v>
      </c>
      <c r="K254" s="329">
        <f t="shared" ca="1" si="122"/>
        <v>35.231203029684799</v>
      </c>
      <c r="L254" s="329">
        <f t="shared" ca="1" si="122"/>
        <v>17.639722846993028</v>
      </c>
      <c r="M254" s="329">
        <f t="shared" ca="1" si="122"/>
        <v>15.000000000000004</v>
      </c>
      <c r="N254" s="329">
        <f t="shared" ca="1" si="122"/>
        <v>15.000000000000004</v>
      </c>
      <c r="O254" s="329">
        <f t="shared" ca="1" si="122"/>
        <v>15.000000000000004</v>
      </c>
      <c r="P254" s="329">
        <f t="shared" ca="1" si="122"/>
        <v>15.000000000000004</v>
      </c>
    </row>
    <row r="255" spans="2:16" ht="14.7" customHeight="1" outlineLevel="1" x14ac:dyDescent="0.3"/>
    <row r="256" spans="2:16" ht="14.7" customHeight="1" outlineLevel="1" x14ac:dyDescent="0.3">
      <c r="B256" s="66" t="s">
        <v>149</v>
      </c>
      <c r="J256" s="362">
        <f>'FS Drivers and Inputs'!I67</f>
        <v>400</v>
      </c>
      <c r="K256" s="363">
        <f>'FS Drivers and Inputs'!J67</f>
        <v>377.06666666666666</v>
      </c>
      <c r="L256" s="363">
        <f>'FS Drivers and Inputs'!K67</f>
        <v>380.83733333333333</v>
      </c>
      <c r="M256" s="363">
        <f>'FS Drivers and Inputs'!L67</f>
        <v>384.64570666666668</v>
      </c>
      <c r="N256" s="363">
        <f>'FS Drivers and Inputs'!M67</f>
        <v>388.49216373333337</v>
      </c>
      <c r="O256" s="363">
        <f>'FS Drivers and Inputs'!N67</f>
        <v>392.37708537066669</v>
      </c>
      <c r="P256" s="364">
        <f>'FS Drivers and Inputs'!O67</f>
        <v>396.30085622437338</v>
      </c>
    </row>
    <row r="257" spans="1:16" ht="14.7" customHeight="1" outlineLevel="1" x14ac:dyDescent="0.3"/>
    <row r="259" spans="1:16" ht="14.7" customHeight="1" x14ac:dyDescent="0.35">
      <c r="A259" s="66" t="s">
        <v>3</v>
      </c>
      <c r="B259" s="7" t="s">
        <v>468</v>
      </c>
      <c r="C259" s="7"/>
      <c r="D259" s="7"/>
      <c r="E259" s="7"/>
      <c r="F259" s="7"/>
      <c r="G259" s="45"/>
      <c r="H259" s="45"/>
      <c r="I259" s="45"/>
      <c r="J259" s="45"/>
      <c r="K259" s="45"/>
      <c r="L259" s="45"/>
      <c r="M259" s="45"/>
      <c r="N259" s="45"/>
      <c r="O259" s="45"/>
      <c r="P259" s="45"/>
    </row>
    <row r="260" spans="1:16" ht="14.7" customHeight="1" outlineLevel="1" x14ac:dyDescent="0.3"/>
    <row r="261" spans="1:16" ht="14.7" customHeight="1" outlineLevel="1" thickBot="1" x14ac:dyDescent="0.35">
      <c r="B261" s="260" t="s">
        <v>6</v>
      </c>
      <c r="J261" s="262">
        <f>J246</f>
        <v>2024</v>
      </c>
      <c r="K261" s="336">
        <f>J261+1</f>
        <v>2025</v>
      </c>
      <c r="L261" s="262">
        <f t="shared" ref="L261" si="123">K261+1</f>
        <v>2026</v>
      </c>
      <c r="M261" s="262">
        <f t="shared" ref="M261" si="124">L261+1</f>
        <v>2027</v>
      </c>
      <c r="N261" s="262">
        <f t="shared" ref="N261" si="125">M261+1</f>
        <v>2028</v>
      </c>
      <c r="O261" s="262">
        <f t="shared" ref="O261" si="126">N261+1</f>
        <v>2029</v>
      </c>
      <c r="P261" s="262">
        <f t="shared" ref="P261" si="127">O261+1</f>
        <v>2030</v>
      </c>
    </row>
    <row r="262" spans="1:16" ht="14.7" customHeight="1" outlineLevel="1" x14ac:dyDescent="0.3"/>
    <row r="263" spans="1:16" ht="14.7" customHeight="1" outlineLevel="1" x14ac:dyDescent="0.3"/>
    <row r="264" spans="1:16" ht="14.7" customHeight="1" outlineLevel="1" x14ac:dyDescent="0.3">
      <c r="B264" s="138" t="s">
        <v>469</v>
      </c>
    </row>
    <row r="265" spans="1:16" ht="14.7" customHeight="1" outlineLevel="1" x14ac:dyDescent="0.3">
      <c r="B265" s="66" t="s">
        <v>418</v>
      </c>
      <c r="J265" s="38">
        <f>J144</f>
        <v>-14298.666666666664</v>
      </c>
      <c r="K265" s="38">
        <f t="shared" ref="K265:P265" si="128">K144</f>
        <v>0</v>
      </c>
      <c r="L265" s="38">
        <f t="shared" si="128"/>
        <v>0</v>
      </c>
      <c r="M265" s="38">
        <f t="shared" si="128"/>
        <v>0</v>
      </c>
      <c r="N265" s="38">
        <f t="shared" si="128"/>
        <v>0</v>
      </c>
      <c r="O265" s="38">
        <f t="shared" si="128"/>
        <v>0</v>
      </c>
      <c r="P265" s="38">
        <f t="shared" si="128"/>
        <v>0</v>
      </c>
    </row>
    <row r="266" spans="1:16" ht="14.7" customHeight="1" outlineLevel="1" x14ac:dyDescent="0.3">
      <c r="B266" s="66" t="s">
        <v>16</v>
      </c>
      <c r="J266" s="29">
        <v>0</v>
      </c>
      <c r="K266" s="38">
        <f t="shared" ref="K266:P266" ca="1" si="129">K170</f>
        <v>1561.0104637671866</v>
      </c>
      <c r="L266" s="38">
        <f t="shared" ca="1" si="129"/>
        <v>2509.1631307906619</v>
      </c>
      <c r="M266" s="38">
        <f t="shared" ca="1" si="129"/>
        <v>7400.2189582751471</v>
      </c>
      <c r="N266" s="38">
        <f t="shared" ca="1" si="129"/>
        <v>3527.6798746490658</v>
      </c>
      <c r="O266" s="38">
        <f t="shared" ca="1" si="129"/>
        <v>1342.6645538416997</v>
      </c>
      <c r="P266" s="38">
        <f t="shared" ca="1" si="129"/>
        <v>-4671.2132452722471</v>
      </c>
    </row>
    <row r="267" spans="1:16" ht="14.7" customHeight="1" outlineLevel="1" x14ac:dyDescent="0.3">
      <c r="B267" s="66" t="s">
        <v>66</v>
      </c>
      <c r="J267" s="29">
        <v>0</v>
      </c>
      <c r="K267" s="38">
        <f t="shared" ref="K267:P267" ca="1" si="130">SUM(K199:K200)</f>
        <v>-3758.2823291359714</v>
      </c>
      <c r="L267" s="38">
        <f t="shared" ca="1" si="130"/>
        <v>-3683.1166825532518</v>
      </c>
      <c r="M267" s="38">
        <f t="shared" ca="1" si="130"/>
        <v>-7218.9086978043733</v>
      </c>
      <c r="N267" s="38">
        <f t="shared" ca="1" si="130"/>
        <v>-6930.1523498921979</v>
      </c>
      <c r="O267" s="38">
        <f t="shared" ca="1" si="130"/>
        <v>-6652.9462558965106</v>
      </c>
      <c r="P267" s="38">
        <f t="shared" ca="1" si="130"/>
        <v>-6386.8284056606508</v>
      </c>
    </row>
    <row r="268" spans="1:16" ht="14.7" customHeight="1" outlineLevel="1" x14ac:dyDescent="0.3">
      <c r="B268" s="66" t="s">
        <v>70</v>
      </c>
      <c r="J268" s="29">
        <v>0</v>
      </c>
      <c r="K268" s="38">
        <f t="shared" ref="K268:P268" ca="1" si="131">SUM(K214:K215)</f>
        <v>-1322.3585972885826</v>
      </c>
      <c r="L268" s="38">
        <f t="shared" ca="1" si="131"/>
        <v>-1309.1350113156968</v>
      </c>
      <c r="M268" s="38">
        <f t="shared" ca="1" si="131"/>
        <v>-2592.0873224050797</v>
      </c>
      <c r="N268" s="38">
        <f t="shared" ca="1" si="131"/>
        <v>-2540.245575956978</v>
      </c>
      <c r="O268" s="38">
        <f t="shared" ca="1" si="131"/>
        <v>-2489.4406644378387</v>
      </c>
      <c r="P268" s="38">
        <f t="shared" ca="1" si="131"/>
        <v>-2439.6518511490822</v>
      </c>
    </row>
    <row r="269" spans="1:16" ht="14.7" customHeight="1" outlineLevel="1" x14ac:dyDescent="0.3">
      <c r="B269" s="66" t="s">
        <v>455</v>
      </c>
      <c r="J269" s="241">
        <v>0</v>
      </c>
      <c r="K269" s="241">
        <v>0</v>
      </c>
      <c r="L269" s="241">
        <v>0</v>
      </c>
      <c r="M269" s="241">
        <v>0</v>
      </c>
      <c r="N269" s="241">
        <v>0</v>
      </c>
      <c r="O269" s="241">
        <v>0</v>
      </c>
      <c r="P269" s="241">
        <v>0</v>
      </c>
    </row>
    <row r="270" spans="1:16" ht="14.7" customHeight="1" outlineLevel="1" x14ac:dyDescent="0.3">
      <c r="B270" s="138" t="s">
        <v>470</v>
      </c>
      <c r="J270" s="263">
        <f t="shared" ref="J270:P270" si="132">SUM(J265:J269)</f>
        <v>-14298.666666666664</v>
      </c>
      <c r="K270" s="263">
        <f t="shared" ca="1" si="132"/>
        <v>-3519.6304626573674</v>
      </c>
      <c r="L270" s="263">
        <f t="shared" ca="1" si="132"/>
        <v>-2483.0885630782868</v>
      </c>
      <c r="M270" s="263">
        <f t="shared" ca="1" si="132"/>
        <v>-2410.7770619343059</v>
      </c>
      <c r="N270" s="263">
        <f t="shared" ca="1" si="132"/>
        <v>-5942.7180512001105</v>
      </c>
      <c r="O270" s="263">
        <f t="shared" ca="1" si="132"/>
        <v>-7799.7223664926496</v>
      </c>
      <c r="P270" s="263">
        <f t="shared" ca="1" si="132"/>
        <v>-13497.69350208198</v>
      </c>
    </row>
    <row r="271" spans="1:16" ht="14.7" customHeight="1" outlineLevel="1" x14ac:dyDescent="0.3">
      <c r="J271" s="38"/>
      <c r="K271" s="38"/>
      <c r="L271" s="38"/>
      <c r="M271" s="38"/>
      <c r="N271" s="38"/>
      <c r="O271" s="38"/>
      <c r="P271" s="38"/>
    </row>
    <row r="272" spans="1:16" ht="14.7" customHeight="1" outlineLevel="1" x14ac:dyDescent="0.3">
      <c r="J272" s="38"/>
      <c r="K272" s="38"/>
      <c r="L272" s="38"/>
      <c r="M272" s="38"/>
      <c r="N272" s="38"/>
      <c r="O272" s="38"/>
      <c r="P272" s="38"/>
    </row>
    <row r="273" spans="2:16" ht="14.7" customHeight="1" outlineLevel="1" x14ac:dyDescent="0.3">
      <c r="B273" s="138" t="s">
        <v>471</v>
      </c>
      <c r="J273" s="38"/>
      <c r="K273" s="38"/>
      <c r="L273" s="38"/>
      <c r="M273" s="38"/>
      <c r="N273" s="38"/>
      <c r="O273" s="38"/>
      <c r="P273" s="38"/>
    </row>
    <row r="274" spans="2:16" ht="14.7" customHeight="1" outlineLevel="1" x14ac:dyDescent="0.3">
      <c r="B274" s="66" t="s">
        <v>418</v>
      </c>
      <c r="J274" s="38">
        <f>J145</f>
        <v>45729.333333333336</v>
      </c>
      <c r="K274" s="38">
        <v>0</v>
      </c>
      <c r="L274" s="38">
        <v>0</v>
      </c>
      <c r="M274" s="38">
        <v>0</v>
      </c>
      <c r="N274" s="38">
        <v>0</v>
      </c>
      <c r="O274" s="38">
        <v>0</v>
      </c>
      <c r="P274" s="38">
        <v>0</v>
      </c>
    </row>
    <row r="275" spans="2:16" ht="14.7" customHeight="1" outlineLevel="1" x14ac:dyDescent="0.3">
      <c r="B275" s="66" t="s">
        <v>16</v>
      </c>
      <c r="J275" s="29">
        <v>0</v>
      </c>
      <c r="K275" s="38">
        <f t="shared" ref="K275:P275" ca="1" si="133">K171</f>
        <v>57239.267191707506</v>
      </c>
      <c r="L275" s="38">
        <f t="shared" ca="1" si="133"/>
        <v>59748.43032249817</v>
      </c>
      <c r="M275" s="38">
        <f t="shared" ca="1" si="133"/>
        <v>67148.649280773316</v>
      </c>
      <c r="N275" s="38">
        <f t="shared" ca="1" si="133"/>
        <v>70676.329155422383</v>
      </c>
      <c r="O275" s="38">
        <f t="shared" ca="1" si="133"/>
        <v>72018.99370926409</v>
      </c>
      <c r="P275" s="38">
        <f t="shared" ca="1" si="133"/>
        <v>67347.780463991847</v>
      </c>
    </row>
    <row r="276" spans="2:16" ht="14.7" customHeight="1" outlineLevel="1" x14ac:dyDescent="0.3">
      <c r="B276" s="66" t="s">
        <v>66</v>
      </c>
      <c r="J276" s="29">
        <v>0</v>
      </c>
      <c r="K276" s="38">
        <f t="shared" ref="K276:P276" ca="1" si="134">K201</f>
        <v>184155.83412766259</v>
      </c>
      <c r="L276" s="38">
        <f t="shared" ca="1" si="134"/>
        <v>180472.71744510933</v>
      </c>
      <c r="M276" s="38">
        <f t="shared" ca="1" si="134"/>
        <v>173253.80874730495</v>
      </c>
      <c r="N276" s="38">
        <f t="shared" ca="1" si="134"/>
        <v>166323.65639741276</v>
      </c>
      <c r="O276" s="38">
        <f t="shared" ca="1" si="134"/>
        <v>159670.71014151626</v>
      </c>
      <c r="P276" s="38">
        <f t="shared" ca="1" si="134"/>
        <v>153283.8817358556</v>
      </c>
    </row>
    <row r="277" spans="2:16" ht="14.7" customHeight="1" outlineLevel="1" x14ac:dyDescent="0.3">
      <c r="B277" s="66" t="s">
        <v>70</v>
      </c>
      <c r="J277" s="29">
        <v>0</v>
      </c>
      <c r="K277" s="38">
        <f t="shared" ref="K277:P277" ca="1" si="135">K216</f>
        <v>130913.50113156968</v>
      </c>
      <c r="L277" s="38">
        <f t="shared" ca="1" si="135"/>
        <v>129604.36612025398</v>
      </c>
      <c r="M277" s="38">
        <f t="shared" ca="1" si="135"/>
        <v>127012.27879784891</v>
      </c>
      <c r="N277" s="38">
        <f t="shared" ca="1" si="135"/>
        <v>124472.03322189194</v>
      </c>
      <c r="O277" s="38">
        <f t="shared" ca="1" si="135"/>
        <v>121982.5925574541</v>
      </c>
      <c r="P277" s="38">
        <f t="shared" ca="1" si="135"/>
        <v>119542.94070630502</v>
      </c>
    </row>
    <row r="278" spans="2:16" ht="14.7" customHeight="1" outlineLevel="1" x14ac:dyDescent="0.3">
      <c r="B278" s="66" t="s">
        <v>455</v>
      </c>
      <c r="J278" s="241">
        <v>0</v>
      </c>
      <c r="K278" s="253">
        <f t="shared" ref="K278:P278" ca="1" si="136">K229</f>
        <v>107093.22835126911</v>
      </c>
      <c r="L278" s="253">
        <f t="shared" ca="1" si="136"/>
        <v>112697.90217981167</v>
      </c>
      <c r="M278" s="253">
        <f t="shared" ca="1" si="136"/>
        <v>118595.89398193624</v>
      </c>
      <c r="N278" s="253">
        <f t="shared" ca="1" si="136"/>
        <v>124802.5544160858</v>
      </c>
      <c r="O278" s="253">
        <f t="shared" ca="1" si="136"/>
        <v>131334.03751020625</v>
      </c>
      <c r="P278" s="253">
        <f t="shared" ca="1" si="136"/>
        <v>138207.34270571219</v>
      </c>
    </row>
    <row r="279" spans="2:16" ht="14.7" customHeight="1" outlineLevel="1" x14ac:dyDescent="0.3">
      <c r="B279" s="138" t="s">
        <v>472</v>
      </c>
      <c r="J279" s="263">
        <f t="shared" ref="J279:P279" si="137">SUM(J274:J278)</f>
        <v>45729.333333333336</v>
      </c>
      <c r="K279" s="263">
        <f t="shared" ca="1" si="137"/>
        <v>479401.83080220886</v>
      </c>
      <c r="L279" s="263">
        <f t="shared" ca="1" si="137"/>
        <v>482523.41606767318</v>
      </c>
      <c r="M279" s="263">
        <f t="shared" ca="1" si="137"/>
        <v>486010.63080786343</v>
      </c>
      <c r="N279" s="263">
        <f t="shared" ca="1" si="137"/>
        <v>486274.57319081295</v>
      </c>
      <c r="O279" s="263">
        <f t="shared" ca="1" si="137"/>
        <v>485006.33391844074</v>
      </c>
      <c r="P279" s="263">
        <f t="shared" ca="1" si="137"/>
        <v>478381.94561186468</v>
      </c>
    </row>
    <row r="280" spans="2:16" ht="14.7" customHeight="1" outlineLevel="1" x14ac:dyDescent="0.3">
      <c r="J280" s="38"/>
      <c r="K280" s="38"/>
      <c r="L280" s="38"/>
      <c r="M280" s="38"/>
      <c r="N280" s="38"/>
      <c r="O280" s="38"/>
      <c r="P280" s="38"/>
    </row>
    <row r="281" spans="2:16" ht="14.7" customHeight="1" outlineLevel="1" x14ac:dyDescent="0.3">
      <c r="J281" s="38"/>
      <c r="K281" s="38"/>
      <c r="L281" s="38"/>
      <c r="M281" s="38"/>
      <c r="N281" s="38"/>
      <c r="O281" s="38"/>
      <c r="P281" s="38"/>
    </row>
    <row r="282" spans="2:16" ht="14.7" customHeight="1" outlineLevel="1" x14ac:dyDescent="0.3">
      <c r="B282" s="138" t="s">
        <v>473</v>
      </c>
      <c r="J282" s="38"/>
      <c r="K282" s="38"/>
      <c r="L282" s="38"/>
      <c r="M282" s="38"/>
      <c r="N282" s="38"/>
      <c r="O282" s="38"/>
      <c r="P282" s="38"/>
    </row>
    <row r="283" spans="2:16" ht="14.7" customHeight="1" outlineLevel="1" x14ac:dyDescent="0.3">
      <c r="B283" s="66" t="s">
        <v>418</v>
      </c>
      <c r="J283" s="38">
        <f>J151</f>
        <v>-156.5853750878901</v>
      </c>
      <c r="K283" s="38">
        <f t="shared" ref="K283:P283" si="138">K151</f>
        <v>-73.423479122721616</v>
      </c>
      <c r="L283" s="38">
        <f t="shared" si="138"/>
        <v>0</v>
      </c>
      <c r="M283" s="38">
        <f t="shared" si="138"/>
        <v>0</v>
      </c>
      <c r="N283" s="38">
        <f t="shared" si="138"/>
        <v>0</v>
      </c>
      <c r="O283" s="38">
        <f t="shared" si="138"/>
        <v>0</v>
      </c>
      <c r="P283" s="38">
        <f t="shared" si="138"/>
        <v>0</v>
      </c>
    </row>
    <row r="284" spans="2:16" ht="14.7" customHeight="1" outlineLevel="1" x14ac:dyDescent="0.3">
      <c r="B284" s="66" t="s">
        <v>474</v>
      </c>
      <c r="J284" s="29">
        <v>0</v>
      </c>
      <c r="K284" s="38">
        <f t="shared" ref="K284:P284" ca="1" si="139">SUM(K176,K184)</f>
        <v>-387.50433252785342</v>
      </c>
      <c r="L284" s="38">
        <f t="shared" ca="1" si="139"/>
        <v>-842.37300266459795</v>
      </c>
      <c r="M284" s="38">
        <f t="shared" ca="1" si="139"/>
        <v>-953.07385959580733</v>
      </c>
      <c r="N284" s="38">
        <f t="shared" ca="1" si="139"/>
        <v>-1078.326792604948</v>
      </c>
      <c r="O284" s="38">
        <f t="shared" ca="1" si="139"/>
        <v>-1165.1720515154655</v>
      </c>
      <c r="P284" s="38">
        <f t="shared" ca="1" si="139"/>
        <v>-1189.9341933860476</v>
      </c>
    </row>
    <row r="285" spans="2:16" ht="14.7" customHeight="1" outlineLevel="1" x14ac:dyDescent="0.3">
      <c r="B285" s="66" t="s">
        <v>66</v>
      </c>
      <c r="J285" s="29">
        <v>0</v>
      </c>
      <c r="K285" s="38">
        <f t="shared" ref="K285:P285" ca="1" si="140">K204</f>
        <v>-1711.3899979143562</v>
      </c>
      <c r="L285" s="38">
        <f t="shared" ca="1" si="140"/>
        <v>-3485.6423301898085</v>
      </c>
      <c r="M285" s="38">
        <f t="shared" ca="1" si="140"/>
        <v>-3508.8168060551179</v>
      </c>
      <c r="N285" s="38">
        <f t="shared" ca="1" si="140"/>
        <v>-3490.7601280725739</v>
      </c>
      <c r="O285" s="38">
        <f t="shared" ca="1" si="140"/>
        <v>-3468.5338774389456</v>
      </c>
      <c r="P285" s="38">
        <f t="shared" ca="1" si="140"/>
        <v>-3442.5005106510907</v>
      </c>
    </row>
    <row r="286" spans="2:16" ht="14.7" customHeight="1" outlineLevel="1" x14ac:dyDescent="0.3">
      <c r="B286" s="66" t="s">
        <v>70</v>
      </c>
      <c r="J286" s="29">
        <v>0</v>
      </c>
      <c r="K286" s="38">
        <f t="shared" ref="K286:P286" ca="1" si="141">K219</f>
        <v>-1440.6495519788718</v>
      </c>
      <c r="L286" s="38">
        <f t="shared" ca="1" si="141"/>
        <v>-2946.309451826683</v>
      </c>
      <c r="M286" s="38">
        <f t="shared" ca="1" si="141"/>
        <v>-2994.6071841201706</v>
      </c>
      <c r="N286" s="38">
        <f t="shared" ca="1" si="141"/>
        <v>-3025.285019709077</v>
      </c>
      <c r="O286" s="38">
        <f t="shared" ca="1" si="141"/>
        <v>-3053.5378990007785</v>
      </c>
      <c r="P286" s="38">
        <f t="shared" ca="1" si="141"/>
        <v>-3079.4505491129285</v>
      </c>
    </row>
    <row r="287" spans="2:16" ht="14.7" customHeight="1" outlineLevel="1" x14ac:dyDescent="0.3">
      <c r="B287" s="66" t="s">
        <v>455</v>
      </c>
      <c r="J287" s="241">
        <v>0</v>
      </c>
      <c r="K287" s="238">
        <f t="shared" ref="K287:P287" ca="1" si="142">K241</f>
        <v>-1797.6646575873365</v>
      </c>
      <c r="L287" s="238">
        <f t="shared" ca="1" si="142"/>
        <v>-3736.4492190283736</v>
      </c>
      <c r="M287" s="238">
        <f t="shared" ca="1" si="142"/>
        <v>-3931.9945347497151</v>
      </c>
      <c r="N287" s="238">
        <f t="shared" ca="1" si="142"/>
        <v>-4137.7736227663754</v>
      </c>
      <c r="O287" s="238">
        <f t="shared" ca="1" si="142"/>
        <v>-4354.3220627469655</v>
      </c>
      <c r="P287" s="238">
        <f t="shared" ca="1" si="142"/>
        <v>-4582.2034636706139</v>
      </c>
    </row>
    <row r="288" spans="2:16" ht="14.7" customHeight="1" outlineLevel="1" x14ac:dyDescent="0.3">
      <c r="B288" s="138" t="s">
        <v>475</v>
      </c>
      <c r="J288" s="332">
        <f t="shared" ref="J288:P288" si="143">SUM(J283:J287)</f>
        <v>-156.5853750878901</v>
      </c>
      <c r="K288" s="335">
        <f t="shared" ca="1" si="143"/>
        <v>-5410.6320191311397</v>
      </c>
      <c r="L288" s="335">
        <f t="shared" ca="1" si="143"/>
        <v>-11010.774003709463</v>
      </c>
      <c r="M288" s="335">
        <f t="shared" ca="1" si="143"/>
        <v>-11388.49238452081</v>
      </c>
      <c r="N288" s="335">
        <f t="shared" ca="1" si="143"/>
        <v>-11732.145563152975</v>
      </c>
      <c r="O288" s="335">
        <f t="shared" ca="1" si="143"/>
        <v>-12041.565890702155</v>
      </c>
      <c r="P288" s="335">
        <f t="shared" ca="1" si="143"/>
        <v>-12294.088716820681</v>
      </c>
    </row>
    <row r="289" spans="1:16" ht="14.7" customHeight="1" outlineLevel="1" x14ac:dyDescent="0.3">
      <c r="J289" s="263"/>
      <c r="K289" s="263"/>
      <c r="L289" s="263"/>
      <c r="M289" s="263"/>
      <c r="N289" s="263"/>
      <c r="O289" s="263"/>
      <c r="P289" s="263"/>
    </row>
    <row r="290" spans="1:16" ht="14.7" customHeight="1" outlineLevel="1" x14ac:dyDescent="0.3">
      <c r="B290" s="138" t="s">
        <v>44</v>
      </c>
      <c r="J290" s="38"/>
      <c r="K290" s="38"/>
      <c r="L290" s="38"/>
      <c r="M290" s="38"/>
      <c r="N290" s="38"/>
      <c r="O290" s="38"/>
      <c r="P290" s="38"/>
    </row>
    <row r="291" spans="1:16" ht="14.7" customHeight="1" outlineLevel="1" x14ac:dyDescent="0.3">
      <c r="B291" s="66" t="s">
        <v>463</v>
      </c>
      <c r="J291" s="38">
        <f t="shared" ref="J291:P291" si="144">J288</f>
        <v>-156.5853750878901</v>
      </c>
      <c r="K291" s="38">
        <f t="shared" ca="1" si="144"/>
        <v>-5410.6320191311397</v>
      </c>
      <c r="L291" s="38">
        <f t="shared" ca="1" si="144"/>
        <v>-11010.774003709463</v>
      </c>
      <c r="M291" s="38">
        <f t="shared" ca="1" si="144"/>
        <v>-11388.49238452081</v>
      </c>
      <c r="N291" s="38">
        <f t="shared" ca="1" si="144"/>
        <v>-11732.145563152975</v>
      </c>
      <c r="O291" s="38">
        <f t="shared" ca="1" si="144"/>
        <v>-12041.565890702155</v>
      </c>
      <c r="P291" s="38">
        <f t="shared" ca="1" si="144"/>
        <v>-12294.088716820681</v>
      </c>
    </row>
    <row r="292" spans="1:16" ht="14.7" customHeight="1" outlineLevel="1" x14ac:dyDescent="0.3">
      <c r="B292" s="66" t="s">
        <v>387</v>
      </c>
      <c r="J292" s="241">
        <v>0</v>
      </c>
      <c r="K292" s="238">
        <f t="shared" ref="K292:P292" ca="1" si="145">K242</f>
        <v>-2696.4969863810043</v>
      </c>
      <c r="L292" s="238">
        <f t="shared" ca="1" si="145"/>
        <v>-5604.6738285425599</v>
      </c>
      <c r="M292" s="238">
        <f t="shared" ca="1" si="145"/>
        <v>-5897.9918021245712</v>
      </c>
      <c r="N292" s="238">
        <f t="shared" ca="1" si="145"/>
        <v>-6206.6604341495613</v>
      </c>
      <c r="O292" s="238">
        <f t="shared" ca="1" si="145"/>
        <v>-6531.4830941204473</v>
      </c>
      <c r="P292" s="238">
        <f t="shared" ca="1" si="145"/>
        <v>-6873.30519550592</v>
      </c>
    </row>
    <row r="293" spans="1:16" ht="14.7" customHeight="1" outlineLevel="1" x14ac:dyDescent="0.3">
      <c r="B293" s="138" t="s">
        <v>44</v>
      </c>
      <c r="J293" s="263">
        <f t="shared" ref="J293:P293" si="146">SUM(J291:J292)</f>
        <v>-156.5853750878901</v>
      </c>
      <c r="K293" s="263">
        <f t="shared" ca="1" si="146"/>
        <v>-8107.1290055121444</v>
      </c>
      <c r="L293" s="263">
        <f t="shared" ca="1" si="146"/>
        <v>-16615.447832252023</v>
      </c>
      <c r="M293" s="263">
        <f t="shared" ca="1" si="146"/>
        <v>-17286.484186645383</v>
      </c>
      <c r="N293" s="263">
        <f t="shared" ca="1" si="146"/>
        <v>-17938.805997302537</v>
      </c>
      <c r="O293" s="263">
        <f t="shared" ca="1" si="146"/>
        <v>-18573.048984822603</v>
      </c>
      <c r="P293" s="263">
        <f t="shared" ca="1" si="146"/>
        <v>-19167.393912326603</v>
      </c>
    </row>
    <row r="294" spans="1:16" ht="14.7" customHeight="1" outlineLevel="1" x14ac:dyDescent="0.3">
      <c r="J294" s="38"/>
      <c r="K294" s="38"/>
      <c r="L294" s="38"/>
      <c r="M294" s="38"/>
      <c r="N294" s="38"/>
      <c r="O294" s="38"/>
      <c r="P294" s="38"/>
    </row>
    <row r="295" spans="1:16" ht="14.7" customHeight="1" outlineLevel="1" x14ac:dyDescent="0.3">
      <c r="B295" s="138" t="s">
        <v>476</v>
      </c>
      <c r="J295" s="329">
        <f t="shared" ref="J295:P295" ca="1" si="147">J254</f>
        <v>57.659480182691766</v>
      </c>
      <c r="K295" s="329">
        <f t="shared" ca="1" si="147"/>
        <v>35.231203029684799</v>
      </c>
      <c r="L295" s="329">
        <f t="shared" ca="1" si="147"/>
        <v>17.639722846993028</v>
      </c>
      <c r="M295" s="329">
        <f t="shared" ca="1" si="147"/>
        <v>15.000000000000004</v>
      </c>
      <c r="N295" s="329">
        <f t="shared" ca="1" si="147"/>
        <v>15.000000000000004</v>
      </c>
      <c r="O295" s="329">
        <f t="shared" ca="1" si="147"/>
        <v>15.000000000000004</v>
      </c>
      <c r="P295" s="329">
        <f t="shared" ca="1" si="147"/>
        <v>15.000000000000004</v>
      </c>
    </row>
    <row r="296" spans="1:16" ht="14.7" customHeight="1" outlineLevel="1" x14ac:dyDescent="0.3">
      <c r="J296" s="38"/>
      <c r="K296" s="38"/>
      <c r="L296" s="38"/>
      <c r="M296" s="38"/>
      <c r="N296" s="38"/>
      <c r="O296" s="38"/>
      <c r="P296" s="38"/>
    </row>
    <row r="297" spans="1:16" ht="14.7" customHeight="1" x14ac:dyDescent="0.3">
      <c r="J297" s="38"/>
      <c r="K297" s="38"/>
      <c r="L297" s="38"/>
      <c r="M297" s="38"/>
      <c r="N297" s="38"/>
      <c r="O297" s="38"/>
      <c r="P297" s="38"/>
    </row>
    <row r="298" spans="1:16" ht="14.7" customHeight="1" x14ac:dyDescent="0.35">
      <c r="A298" s="66" t="s">
        <v>3</v>
      </c>
      <c r="B298" s="7" t="s">
        <v>477</v>
      </c>
      <c r="C298" s="133"/>
      <c r="D298" s="133"/>
      <c r="E298" s="133"/>
      <c r="F298" s="133"/>
      <c r="G298" s="133"/>
      <c r="H298" s="133"/>
      <c r="I298" s="133"/>
      <c r="J298" s="133"/>
      <c r="K298" s="133"/>
      <c r="L298" s="133"/>
      <c r="M298" s="133"/>
      <c r="N298" s="45"/>
      <c r="O298" s="45"/>
      <c r="P298" s="45"/>
    </row>
    <row r="299" spans="1:16" ht="14.7" customHeight="1" outlineLevel="1" x14ac:dyDescent="0.3">
      <c r="H299" s="38"/>
      <c r="I299" s="38"/>
      <c r="J299" s="38"/>
      <c r="K299" s="38"/>
      <c r="L299" s="38"/>
      <c r="N299" s="38"/>
      <c r="O299" s="38"/>
      <c r="P299" s="38"/>
    </row>
    <row r="300" spans="1:16" ht="14.7" customHeight="1" outlineLevel="1" thickBot="1" x14ac:dyDescent="0.35">
      <c r="B300" s="260" t="s">
        <v>6</v>
      </c>
      <c r="J300"/>
      <c r="K300" s="336">
        <f>K261</f>
        <v>2025</v>
      </c>
      <c r="L300" s="262">
        <f t="shared" ref="L300:P300" si="148">K300+1</f>
        <v>2026</v>
      </c>
      <c r="M300" s="262">
        <f t="shared" si="148"/>
        <v>2027</v>
      </c>
      <c r="N300" s="262">
        <f t="shared" si="148"/>
        <v>2028</v>
      </c>
      <c r="O300" s="262">
        <f t="shared" si="148"/>
        <v>2029</v>
      </c>
      <c r="P300" s="262">
        <f t="shared" si="148"/>
        <v>2030</v>
      </c>
    </row>
    <row r="301" spans="1:16" ht="14.7" customHeight="1" outlineLevel="1" x14ac:dyDescent="0.3">
      <c r="J301"/>
      <c r="K301" s="38"/>
      <c r="L301" s="38"/>
      <c r="M301" s="38"/>
      <c r="N301" s="38"/>
      <c r="O301" s="38"/>
    </row>
    <row r="302" spans="1:16" ht="14.7" customHeight="1" outlineLevel="1" x14ac:dyDescent="0.3">
      <c r="J302"/>
      <c r="K302" s="38"/>
      <c r="L302" s="38"/>
      <c r="M302" s="38"/>
      <c r="N302" s="38"/>
      <c r="O302" s="38"/>
    </row>
    <row r="303" spans="1:16" ht="14.7" customHeight="1" outlineLevel="1" x14ac:dyDescent="0.3">
      <c r="B303" s="138" t="s">
        <v>478</v>
      </c>
      <c r="J303"/>
      <c r="L303" s="38"/>
      <c r="M303" s="38"/>
      <c r="N303" s="38"/>
      <c r="O303" s="38"/>
    </row>
    <row r="304" spans="1:16" ht="14.7" customHeight="1" outlineLevel="1" x14ac:dyDescent="0.3">
      <c r="B304" s="66" t="s">
        <v>435</v>
      </c>
      <c r="J304"/>
      <c r="K304" s="240">
        <f ca="1">'FS Transaction Details'!D43</f>
        <v>180613.51097137746</v>
      </c>
      <c r="L304" s="38">
        <f ca="1">K306</f>
        <v>180613.51097137746</v>
      </c>
      <c r="M304" s="38">
        <f ca="1">L306</f>
        <v>180613.51097137746</v>
      </c>
      <c r="N304" s="38">
        <f ca="1">M306</f>
        <v>180613.51097137746</v>
      </c>
      <c r="O304" s="38">
        <f ca="1">N306</f>
        <v>180613.51097137746</v>
      </c>
      <c r="P304" s="38">
        <f ca="1">O306</f>
        <v>180613.51097137746</v>
      </c>
    </row>
    <row r="305" spans="1:16" ht="14.7" customHeight="1" outlineLevel="1" x14ac:dyDescent="0.3">
      <c r="B305" s="66" t="s">
        <v>188</v>
      </c>
      <c r="J305"/>
      <c r="K305" s="239">
        <f>K81</f>
        <v>0</v>
      </c>
      <c r="L305" s="239">
        <f t="shared" ref="L305:P305" si="149">L81</f>
        <v>0</v>
      </c>
      <c r="M305" s="239">
        <f t="shared" si="149"/>
        <v>0</v>
      </c>
      <c r="N305" s="239">
        <f t="shared" si="149"/>
        <v>0</v>
      </c>
      <c r="O305" s="239">
        <f t="shared" si="149"/>
        <v>0</v>
      </c>
      <c r="P305" s="239">
        <f t="shared" si="149"/>
        <v>0</v>
      </c>
    </row>
    <row r="306" spans="1:16" ht="14.7" customHeight="1" outlineLevel="1" x14ac:dyDescent="0.3">
      <c r="B306" s="66" t="s">
        <v>437</v>
      </c>
      <c r="J306"/>
      <c r="K306" s="38">
        <f t="shared" ref="K306:P306" ca="1" si="150">SUM(K304:K305)</f>
        <v>180613.51097137746</v>
      </c>
      <c r="L306" s="38">
        <f t="shared" ca="1" si="150"/>
        <v>180613.51097137746</v>
      </c>
      <c r="M306" s="38">
        <f t="shared" ca="1" si="150"/>
        <v>180613.51097137746</v>
      </c>
      <c r="N306" s="38">
        <f t="shared" ca="1" si="150"/>
        <v>180613.51097137746</v>
      </c>
      <c r="O306" s="38">
        <f t="shared" ca="1" si="150"/>
        <v>180613.51097137746</v>
      </c>
      <c r="P306" s="38">
        <f t="shared" ca="1" si="150"/>
        <v>180613.51097137746</v>
      </c>
    </row>
    <row r="307" spans="1:16" ht="14.7" customHeight="1" outlineLevel="1" x14ac:dyDescent="0.3">
      <c r="J307"/>
      <c r="K307" s="38"/>
      <c r="L307" s="38"/>
      <c r="M307" s="38"/>
      <c r="N307" s="38"/>
      <c r="O307" s="38"/>
    </row>
    <row r="308" spans="1:16" ht="14.7" customHeight="1" outlineLevel="1" x14ac:dyDescent="0.3">
      <c r="J308"/>
      <c r="K308" s="38"/>
      <c r="L308" s="38"/>
      <c r="M308" s="38"/>
      <c r="N308" s="38"/>
      <c r="O308" s="38"/>
    </row>
    <row r="309" spans="1:16" ht="14.7" customHeight="1" outlineLevel="1" x14ac:dyDescent="0.3">
      <c r="B309" s="138" t="s">
        <v>337</v>
      </c>
      <c r="J309"/>
      <c r="K309" s="38"/>
      <c r="L309" s="38"/>
      <c r="M309" s="38"/>
      <c r="N309" s="38"/>
      <c r="O309" s="38"/>
    </row>
    <row r="310" spans="1:16" ht="14.7" customHeight="1" outlineLevel="1" x14ac:dyDescent="0.3">
      <c r="B310" s="66" t="s">
        <v>435</v>
      </c>
      <c r="J310"/>
      <c r="K310" s="240">
        <f>'FS Transaction Details'!N9*-1</f>
        <v>-17901.449626784852</v>
      </c>
      <c r="L310" s="254">
        <f ca="1">K313</f>
        <v>-7164.9612836171545</v>
      </c>
      <c r="M310" s="254">
        <f ca="1">L313</f>
        <v>-1992.6415405464231</v>
      </c>
      <c r="N310" s="254">
        <f ca="1">M313</f>
        <v>4914.0103483081457</v>
      </c>
      <c r="O310" s="254">
        <f ca="1">N313</f>
        <v>13737.268192086874</v>
      </c>
      <c r="P310" s="254">
        <f ca="1">O313</f>
        <v>24622.812906948293</v>
      </c>
    </row>
    <row r="311" spans="1:16" ht="14.7" customHeight="1" outlineLevel="1" x14ac:dyDescent="0.3">
      <c r="B311" s="66" t="s">
        <v>384</v>
      </c>
      <c r="J311"/>
      <c r="K311" s="38">
        <f t="shared" ref="K311:P311" ca="1" si="151">K56</f>
        <v>10736.488343167697</v>
      </c>
      <c r="L311" s="38">
        <f t="shared" ca="1" si="151"/>
        <v>5172.3197430707314</v>
      </c>
      <c r="M311" s="38">
        <f t="shared" ca="1" si="151"/>
        <v>6906.6518888545688</v>
      </c>
      <c r="N311" s="38">
        <f t="shared" ca="1" si="151"/>
        <v>8823.2578437787288</v>
      </c>
      <c r="O311" s="38">
        <f t="shared" ca="1" si="151"/>
        <v>10885.544714861418</v>
      </c>
      <c r="P311" s="38">
        <f t="shared" ca="1" si="151"/>
        <v>15044.026985814262</v>
      </c>
    </row>
    <row r="312" spans="1:16" ht="14.7" customHeight="1" outlineLevel="1" x14ac:dyDescent="0.3">
      <c r="B312" s="66" t="s">
        <v>191</v>
      </c>
      <c r="J312"/>
      <c r="K312" s="239">
        <f>K82</f>
        <v>0</v>
      </c>
      <c r="L312" s="239">
        <f t="shared" ref="L312:P312" si="152">L82</f>
        <v>0</v>
      </c>
      <c r="M312" s="239">
        <f t="shared" si="152"/>
        <v>0</v>
      </c>
      <c r="N312" s="239">
        <f t="shared" si="152"/>
        <v>0</v>
      </c>
      <c r="O312" s="239">
        <f t="shared" si="152"/>
        <v>0</v>
      </c>
      <c r="P312" s="239">
        <f t="shared" si="152"/>
        <v>0</v>
      </c>
    </row>
    <row r="313" spans="1:16" ht="14.7" customHeight="1" outlineLevel="1" x14ac:dyDescent="0.3">
      <c r="B313" s="66" t="s">
        <v>437</v>
      </c>
      <c r="J313"/>
      <c r="K313" s="38">
        <f t="shared" ref="K313:P313" ca="1" si="153">SUM(K310:K312)</f>
        <v>-7164.9612836171545</v>
      </c>
      <c r="L313" s="38">
        <f t="shared" ca="1" si="153"/>
        <v>-1992.6415405464231</v>
      </c>
      <c r="M313" s="38">
        <f t="shared" ca="1" si="153"/>
        <v>4914.0103483081457</v>
      </c>
      <c r="N313" s="38">
        <f t="shared" ca="1" si="153"/>
        <v>13737.268192086874</v>
      </c>
      <c r="O313" s="38">
        <f t="shared" ca="1" si="153"/>
        <v>24622.812906948293</v>
      </c>
      <c r="P313" s="38">
        <f t="shared" ca="1" si="153"/>
        <v>39666.839892762553</v>
      </c>
    </row>
    <row r="314" spans="1:16" ht="14.7" customHeight="1" outlineLevel="1" x14ac:dyDescent="0.3"/>
    <row r="315" spans="1:16" ht="14.7" customHeight="1" outlineLevel="1" x14ac:dyDescent="0.3"/>
    <row r="317" spans="1:16" ht="14.7" customHeight="1" x14ac:dyDescent="0.35">
      <c r="A317" s="66" t="s">
        <v>3</v>
      </c>
      <c r="B317" s="7" t="s">
        <v>479</v>
      </c>
      <c r="C317" s="133"/>
      <c r="D317" s="133"/>
      <c r="E317" s="133"/>
      <c r="F317" s="133"/>
      <c r="G317" s="133"/>
      <c r="H317" s="133"/>
      <c r="I317" s="133"/>
      <c r="J317" s="133"/>
      <c r="K317" s="133"/>
      <c r="L317" s="133"/>
      <c r="M317" s="133"/>
      <c r="N317" s="133"/>
      <c r="O317" s="133"/>
      <c r="P317" s="133"/>
    </row>
    <row r="318" spans="1:16" ht="14.7" customHeight="1" outlineLevel="1" x14ac:dyDescent="0.3">
      <c r="K318" s="38"/>
      <c r="L318" s="38"/>
      <c r="M318" s="38"/>
      <c r="N318" s="38"/>
      <c r="O318" s="38"/>
    </row>
    <row r="319" spans="1:16" ht="14.7" customHeight="1" outlineLevel="1" thickBot="1" x14ac:dyDescent="0.35">
      <c r="B319" s="260" t="s">
        <v>6</v>
      </c>
      <c r="J319" s="343" t="s">
        <v>480</v>
      </c>
      <c r="K319" s="336">
        <f>K300</f>
        <v>2025</v>
      </c>
      <c r="L319" s="262">
        <f t="shared" ref="L319:P319" si="154">K319+1</f>
        <v>2026</v>
      </c>
      <c r="M319" s="262">
        <f t="shared" si="154"/>
        <v>2027</v>
      </c>
      <c r="N319" s="262">
        <f t="shared" si="154"/>
        <v>2028</v>
      </c>
      <c r="O319" s="262">
        <f t="shared" si="154"/>
        <v>2029</v>
      </c>
      <c r="P319" s="262">
        <f t="shared" si="154"/>
        <v>2030</v>
      </c>
    </row>
    <row r="320" spans="1:16" ht="14.7" customHeight="1" outlineLevel="1" x14ac:dyDescent="0.3"/>
    <row r="321" spans="2:18" ht="14.7" customHeight="1" outlineLevel="1" x14ac:dyDescent="0.3">
      <c r="F321" s="264" t="s">
        <v>481</v>
      </c>
      <c r="J321" s="344" t="s">
        <v>482</v>
      </c>
      <c r="K321" s="345"/>
      <c r="L321" s="345"/>
      <c r="M321" s="345"/>
      <c r="N321" s="345"/>
      <c r="O321" s="345"/>
      <c r="P321" s="345"/>
    </row>
    <row r="322" spans="2:18" ht="14.7" customHeight="1" outlineLevel="1" x14ac:dyDescent="0.3">
      <c r="F322" s="359">
        <f>'FS Transaction Details'!I25</f>
        <v>45838</v>
      </c>
      <c r="H322" s="407" t="s">
        <v>483</v>
      </c>
      <c r="J322" s="346">
        <f>F322</f>
        <v>45838</v>
      </c>
      <c r="K322" s="347">
        <f>'FS Transaction Details'!I24</f>
        <v>46022</v>
      </c>
      <c r="L322" s="348">
        <f>EDATE(K322,12)</f>
        <v>46387</v>
      </c>
      <c r="M322" s="348">
        <f t="shared" ref="M322:P322" si="155">EDATE(L322,12)</f>
        <v>46752</v>
      </c>
      <c r="N322" s="348">
        <f t="shared" si="155"/>
        <v>47118</v>
      </c>
      <c r="O322" s="348">
        <f t="shared" si="155"/>
        <v>47483</v>
      </c>
      <c r="P322" s="349">
        <f t="shared" si="155"/>
        <v>47848</v>
      </c>
    </row>
    <row r="323" spans="2:18" ht="14.7" customHeight="1" outlineLevel="1" x14ac:dyDescent="0.3"/>
    <row r="324" spans="2:18" ht="14.7" customHeight="1" outlineLevel="1" x14ac:dyDescent="0.3">
      <c r="B324" s="138" t="s">
        <v>484</v>
      </c>
    </row>
    <row r="325" spans="2:18" ht="14.7" customHeight="1" outlineLevel="1" x14ac:dyDescent="0.3">
      <c r="B325" s="66" t="s">
        <v>18</v>
      </c>
      <c r="K325" s="38">
        <f t="shared" ref="K325:P325" si="156">K44</f>
        <v>28351.430172009765</v>
      </c>
      <c r="L325" s="38">
        <f t="shared" si="156"/>
        <v>30120.960023129592</v>
      </c>
      <c r="M325" s="38">
        <f t="shared" si="156"/>
        <v>34274.677181993466</v>
      </c>
      <c r="N325" s="38">
        <f t="shared" si="156"/>
        <v>38751.531985686182</v>
      </c>
      <c r="O325" s="38">
        <f t="shared" si="156"/>
        <v>43490.13089441543</v>
      </c>
      <c r="P325" s="38">
        <f t="shared" si="156"/>
        <v>51158.696461336833</v>
      </c>
    </row>
    <row r="326" spans="2:18" ht="14.7" customHeight="1" outlineLevel="1" x14ac:dyDescent="0.3">
      <c r="B326" s="66" t="s">
        <v>485</v>
      </c>
      <c r="K326" s="350">
        <f>'FS Outputs'!$S$86</f>
        <v>22.731089896871033</v>
      </c>
      <c r="L326" s="351">
        <f>K326</f>
        <v>22.731089896871033</v>
      </c>
      <c r="M326" s="351">
        <f t="shared" ref="M326:P326" si="157">L326</f>
        <v>22.731089896871033</v>
      </c>
      <c r="N326" s="351">
        <f t="shared" si="157"/>
        <v>22.731089896871033</v>
      </c>
      <c r="O326" s="351">
        <f t="shared" si="157"/>
        <v>22.731089896871033</v>
      </c>
      <c r="P326" s="351">
        <f t="shared" si="157"/>
        <v>22.731089896871033</v>
      </c>
    </row>
    <row r="327" spans="2:18" ht="14.7" customHeight="1" outlineLevel="1" x14ac:dyDescent="0.3">
      <c r="B327" s="138" t="s">
        <v>484</v>
      </c>
      <c r="K327" s="263">
        <f>K326*K325</f>
        <v>644458.9079448157</v>
      </c>
      <c r="L327" s="263">
        <f t="shared" ref="L327:P327" si="158">L326*L325</f>
        <v>684682.25006581738</v>
      </c>
      <c r="M327" s="263">
        <f t="shared" si="158"/>
        <v>779100.76821012783</v>
      </c>
      <c r="N327" s="263">
        <f t="shared" si="158"/>
        <v>880864.55720810592</v>
      </c>
      <c r="O327" s="263">
        <f t="shared" si="158"/>
        <v>988578.07498764538</v>
      </c>
      <c r="P327" s="263">
        <f t="shared" si="158"/>
        <v>1162892.9282693856</v>
      </c>
    </row>
    <row r="328" spans="2:18" ht="14.7" customHeight="1" outlineLevel="1" x14ac:dyDescent="0.3">
      <c r="K328" s="38"/>
      <c r="L328" s="38"/>
      <c r="M328" s="38"/>
      <c r="N328" s="38"/>
      <c r="O328" s="38"/>
      <c r="P328" s="38"/>
    </row>
    <row r="329" spans="2:18" ht="14.7" customHeight="1" outlineLevel="1" x14ac:dyDescent="0.3">
      <c r="B329" s="138" t="s">
        <v>26</v>
      </c>
      <c r="K329" s="38"/>
      <c r="L329" s="38"/>
      <c r="M329" s="38"/>
      <c r="N329" s="38"/>
      <c r="O329" s="38"/>
      <c r="P329" s="38"/>
    </row>
    <row r="330" spans="2:18" ht="14.7" customHeight="1" outlineLevel="1" x14ac:dyDescent="0.3">
      <c r="B330" s="66" t="s">
        <v>486</v>
      </c>
      <c r="K330" s="38">
        <f t="shared" ref="K330:P330" ca="1" si="159">K279</f>
        <v>479401.83080220886</v>
      </c>
      <c r="L330" s="38">
        <f t="shared" ca="1" si="159"/>
        <v>482523.41606767318</v>
      </c>
      <c r="M330" s="38">
        <f t="shared" ca="1" si="159"/>
        <v>486010.63080786343</v>
      </c>
      <c r="N330" s="38">
        <f t="shared" ca="1" si="159"/>
        <v>486274.57319081295</v>
      </c>
      <c r="O330" s="38">
        <f t="shared" ca="1" si="159"/>
        <v>485006.33391844074</v>
      </c>
      <c r="P330" s="38">
        <f t="shared" ca="1" si="159"/>
        <v>478381.94561186468</v>
      </c>
    </row>
    <row r="331" spans="2:18" ht="14.7" customHeight="1" outlineLevel="1" x14ac:dyDescent="0.3">
      <c r="B331" s="66" t="s">
        <v>47</v>
      </c>
      <c r="K331" s="238">
        <f ca="1">-K88</f>
        <v>-13519.630462657369</v>
      </c>
      <c r="L331" s="238">
        <f t="shared" ref="L331:P331" ca="1" si="160">-L88</f>
        <v>-10000.000000000002</v>
      </c>
      <c r="M331" s="238">
        <f t="shared" ca="1" si="160"/>
        <v>-10000.000000000002</v>
      </c>
      <c r="N331" s="238">
        <f t="shared" ca="1" si="160"/>
        <v>-10000.000000000002</v>
      </c>
      <c r="O331" s="238">
        <f t="shared" ca="1" si="160"/>
        <v>-10000.000000000002</v>
      </c>
      <c r="P331" s="238">
        <f t="shared" ca="1" si="160"/>
        <v>-10000.000000000002</v>
      </c>
    </row>
    <row r="332" spans="2:18" ht="14.7" customHeight="1" outlineLevel="1" x14ac:dyDescent="0.3">
      <c r="B332" s="66" t="s">
        <v>487</v>
      </c>
      <c r="K332" s="263">
        <f t="shared" ref="K332:P332" ca="1" si="161">SUM(K330:K331)</f>
        <v>465882.20033955149</v>
      </c>
      <c r="L332" s="263">
        <f t="shared" ca="1" si="161"/>
        <v>472523.41606767318</v>
      </c>
      <c r="M332" s="263">
        <f t="shared" ca="1" si="161"/>
        <v>476010.63080786343</v>
      </c>
      <c r="N332" s="263">
        <f t="shared" ca="1" si="161"/>
        <v>476274.57319081295</v>
      </c>
      <c r="O332" s="263">
        <f t="shared" ca="1" si="161"/>
        <v>475006.33391844074</v>
      </c>
      <c r="P332" s="263">
        <f t="shared" ca="1" si="161"/>
        <v>468381.94561186468</v>
      </c>
    </row>
    <row r="333" spans="2:18" ht="14.7" customHeight="1" outlineLevel="1" x14ac:dyDescent="0.3">
      <c r="K333" s="38"/>
      <c r="L333" s="38"/>
      <c r="M333" s="38"/>
      <c r="N333" s="38"/>
      <c r="O333" s="38"/>
      <c r="P333" s="38"/>
    </row>
    <row r="334" spans="2:18" ht="14.7" customHeight="1" outlineLevel="1" x14ac:dyDescent="0.3">
      <c r="B334" s="138" t="s">
        <v>488</v>
      </c>
      <c r="K334" s="38"/>
      <c r="L334" s="38"/>
      <c r="M334" s="38"/>
      <c r="N334" s="38"/>
      <c r="O334" s="38"/>
      <c r="P334" s="38"/>
    </row>
    <row r="335" spans="2:18" ht="14.7" customHeight="1" outlineLevel="1" x14ac:dyDescent="0.3">
      <c r="B335" s="66" t="s">
        <v>484</v>
      </c>
      <c r="K335" s="38">
        <f>K327</f>
        <v>644458.9079448157</v>
      </c>
      <c r="L335" s="38">
        <f t="shared" ref="L335:P335" si="162">L327</f>
        <v>684682.25006581738</v>
      </c>
      <c r="M335" s="38">
        <f t="shared" si="162"/>
        <v>779100.76821012783</v>
      </c>
      <c r="N335" s="38">
        <f t="shared" si="162"/>
        <v>880864.55720810592</v>
      </c>
      <c r="O335" s="38">
        <f t="shared" si="162"/>
        <v>988578.07498764538</v>
      </c>
      <c r="P335" s="38">
        <f t="shared" si="162"/>
        <v>1162892.9282693856</v>
      </c>
    </row>
    <row r="336" spans="2:18" ht="14.7" customHeight="1" outlineLevel="1" x14ac:dyDescent="0.3">
      <c r="B336" s="66" t="s">
        <v>26</v>
      </c>
      <c r="K336" s="238">
        <f t="shared" ref="K336:P336" ca="1" si="163">-K332</f>
        <v>-465882.20033955149</v>
      </c>
      <c r="L336" s="238">
        <f t="shared" ca="1" si="163"/>
        <v>-472523.41606767318</v>
      </c>
      <c r="M336" s="238">
        <f t="shared" ca="1" si="163"/>
        <v>-476010.63080786343</v>
      </c>
      <c r="N336" s="238">
        <f t="shared" ca="1" si="163"/>
        <v>-476274.57319081295</v>
      </c>
      <c r="O336" s="238">
        <f t="shared" ca="1" si="163"/>
        <v>-475006.33391844074</v>
      </c>
      <c r="P336" s="238">
        <f t="shared" ca="1" si="163"/>
        <v>-468381.94561186468</v>
      </c>
    </row>
    <row r="337" spans="1:16" ht="14.7" customHeight="1" outlineLevel="1" x14ac:dyDescent="0.3">
      <c r="B337" s="66" t="s">
        <v>488</v>
      </c>
      <c r="K337" s="263">
        <f t="shared" ref="K337:P337" ca="1" si="164">SUM(K335:K336)</f>
        <v>178576.70760526421</v>
      </c>
      <c r="L337" s="263">
        <f t="shared" ca="1" si="164"/>
        <v>212158.8339981442</v>
      </c>
      <c r="M337" s="263">
        <f t="shared" ca="1" si="164"/>
        <v>303090.1374022644</v>
      </c>
      <c r="N337" s="263">
        <f t="shared" ca="1" si="164"/>
        <v>404589.98401729297</v>
      </c>
      <c r="O337" s="263">
        <f t="shared" ca="1" si="164"/>
        <v>513571.74106920464</v>
      </c>
      <c r="P337" s="263">
        <f t="shared" ca="1" si="164"/>
        <v>694510.98265752092</v>
      </c>
    </row>
    <row r="338" spans="1:16" ht="14.7" customHeight="1" outlineLevel="1" x14ac:dyDescent="0.3">
      <c r="K338" s="38"/>
      <c r="L338" s="38"/>
      <c r="M338" s="38"/>
      <c r="N338" s="38"/>
      <c r="O338" s="38"/>
      <c r="P338" s="38"/>
    </row>
    <row r="339" spans="1:16" ht="14.7" customHeight="1" outlineLevel="1" x14ac:dyDescent="0.3">
      <c r="B339" s="66" t="s">
        <v>191</v>
      </c>
      <c r="K339" s="240">
        <f>'FS Drivers and Inputs'!J98</f>
        <v>0</v>
      </c>
      <c r="L339" s="240">
        <f>'FS Drivers and Inputs'!K98</f>
        <v>0</v>
      </c>
      <c r="M339" s="240">
        <f>'FS Drivers and Inputs'!L98</f>
        <v>0</v>
      </c>
      <c r="N339" s="240">
        <f>'FS Drivers and Inputs'!M98</f>
        <v>0</v>
      </c>
      <c r="O339" s="240">
        <f>'FS Drivers and Inputs'!N98</f>
        <v>0</v>
      </c>
      <c r="P339" s="240">
        <f>'FS Drivers and Inputs'!O98</f>
        <v>0</v>
      </c>
    </row>
    <row r="340" spans="1:16" ht="14.7" customHeight="1" outlineLevel="1" x14ac:dyDescent="0.3">
      <c r="K340" s="38"/>
      <c r="L340" s="38"/>
      <c r="M340" s="38"/>
      <c r="N340" s="38"/>
      <c r="O340" s="38"/>
      <c r="P340" s="38"/>
    </row>
    <row r="341" spans="1:16" ht="14.7" customHeight="1" outlineLevel="1" thickBot="1" x14ac:dyDescent="0.35">
      <c r="B341" s="352" t="s">
        <v>489</v>
      </c>
      <c r="C341" s="353" t="s">
        <v>68</v>
      </c>
      <c r="D341" s="353" t="s">
        <v>69</v>
      </c>
      <c r="J341" s="343" t="str">
        <f>J319</f>
        <v>Close</v>
      </c>
      <c r="K341" s="445">
        <v>0</v>
      </c>
      <c r="L341" s="354">
        <f>K341+1</f>
        <v>1</v>
      </c>
      <c r="M341" s="354">
        <f t="shared" ref="M341:P341" si="165">L341+1</f>
        <v>2</v>
      </c>
      <c r="N341" s="354">
        <f t="shared" si="165"/>
        <v>3</v>
      </c>
      <c r="O341" s="354">
        <f t="shared" si="165"/>
        <v>4</v>
      </c>
      <c r="P341" s="354">
        <f t="shared" si="165"/>
        <v>5</v>
      </c>
    </row>
    <row r="342" spans="1:16" ht="14.7" customHeight="1" outlineLevel="1" x14ac:dyDescent="0.3">
      <c r="B342" s="355">
        <v>5</v>
      </c>
      <c r="C342" s="356">
        <f t="shared" ref="C342:C347" ca="1" si="166">IFERROR(XIRR(J342:P342,$J$322:$P$322),"N/A")</f>
        <v>0.27708095908164976</v>
      </c>
      <c r="D342" s="357">
        <f t="shared" ref="D342:D347" ca="1" si="167">SUM(K342:P342)/-J342</f>
        <v>3.8452880901450546</v>
      </c>
      <c r="J342" s="240">
        <f ca="1">-'FS Transaction Details'!D43</f>
        <v>-180613.51097137746</v>
      </c>
      <c r="K342" s="38">
        <f>IF($B342=K$341,K$339+K$337,K$339)</f>
        <v>0</v>
      </c>
      <c r="L342" s="38">
        <f t="shared" ref="L342:O345" si="168">IF($B342=L$341,L$339+L$337,L$339)</f>
        <v>0</v>
      </c>
      <c r="M342" s="38">
        <f t="shared" si="168"/>
        <v>0</v>
      </c>
      <c r="N342" s="38">
        <f t="shared" si="168"/>
        <v>0</v>
      </c>
      <c r="O342" s="38">
        <f t="shared" si="168"/>
        <v>0</v>
      </c>
      <c r="P342" s="38">
        <f ca="1">IF($B342=P$341,P$339+P$337,P$339)</f>
        <v>694510.98265752092</v>
      </c>
    </row>
    <row r="343" spans="1:16" ht="14.7" customHeight="1" outlineLevel="1" x14ac:dyDescent="0.3">
      <c r="B343" s="358">
        <f>B342-1</f>
        <v>4</v>
      </c>
      <c r="C343" s="356">
        <f t="shared" ca="1" si="166"/>
        <v>0.26096338629722593</v>
      </c>
      <c r="D343" s="357">
        <f t="shared" ca="1" si="167"/>
        <v>2.8434846225352013</v>
      </c>
      <c r="J343" s="38">
        <f ca="1">J342</f>
        <v>-180613.51097137746</v>
      </c>
      <c r="K343" s="38">
        <f t="shared" ref="K343:K346" si="169">IF($B343=K$341,K$339+K$337,K$339)</f>
        <v>0</v>
      </c>
      <c r="L343" s="38">
        <f t="shared" si="168"/>
        <v>0</v>
      </c>
      <c r="M343" s="38">
        <f t="shared" si="168"/>
        <v>0</v>
      </c>
      <c r="N343" s="38">
        <f t="shared" si="168"/>
        <v>0</v>
      </c>
      <c r="O343" s="38">
        <f ca="1">IF($B343=O$341,O$339+O$337,O$339)</f>
        <v>513571.74106920464</v>
      </c>
      <c r="P343" s="38"/>
    </row>
    <row r="344" spans="1:16" ht="14.7" customHeight="1" outlineLevel="1" x14ac:dyDescent="0.3">
      <c r="B344" s="358">
        <f t="shared" ref="B344:B347" si="170">B343-1</f>
        <v>3</v>
      </c>
      <c r="C344" s="356">
        <f t="shared" ca="1" si="166"/>
        <v>0.2585782468318939</v>
      </c>
      <c r="D344" s="357">
        <f t="shared" ca="1" si="167"/>
        <v>2.240087033585267</v>
      </c>
      <c r="J344" s="38">
        <f ca="1">J343</f>
        <v>-180613.51097137746</v>
      </c>
      <c r="K344" s="38">
        <f t="shared" si="169"/>
        <v>0</v>
      </c>
      <c r="L344" s="38">
        <f t="shared" si="168"/>
        <v>0</v>
      </c>
      <c r="M344" s="38">
        <f t="shared" si="168"/>
        <v>0</v>
      </c>
      <c r="N344" s="38">
        <f ca="1">IF($B344=N$341,N$339+N$337,N$339)</f>
        <v>404589.98401729297</v>
      </c>
      <c r="O344" s="38"/>
      <c r="P344" s="38"/>
    </row>
    <row r="345" spans="1:16" ht="14.7" customHeight="1" outlineLevel="1" x14ac:dyDescent="0.3">
      <c r="B345" s="358">
        <f t="shared" si="170"/>
        <v>2</v>
      </c>
      <c r="C345" s="356">
        <f t="shared" ca="1" si="166"/>
        <v>0.22964866757392885</v>
      </c>
      <c r="D345" s="357">
        <f t="shared" ca="1" si="167"/>
        <v>1.6781144210761525</v>
      </c>
      <c r="J345" s="38">
        <f ca="1">J344</f>
        <v>-180613.51097137746</v>
      </c>
      <c r="K345" s="38">
        <f t="shared" si="169"/>
        <v>0</v>
      </c>
      <c r="L345" s="38">
        <f t="shared" si="168"/>
        <v>0</v>
      </c>
      <c r="M345" s="38">
        <f ca="1">IF($B345=M$341,M$339+M$337,M$339)</f>
        <v>303090.1374022644</v>
      </c>
      <c r="N345" s="38"/>
      <c r="O345" s="38"/>
      <c r="P345" s="38"/>
    </row>
    <row r="346" spans="1:16" ht="14.7" customHeight="1" outlineLevel="1" x14ac:dyDescent="0.3">
      <c r="B346" s="358">
        <f t="shared" si="170"/>
        <v>1</v>
      </c>
      <c r="C346" s="356">
        <f t="shared" ca="1" si="166"/>
        <v>0.1129609167575836</v>
      </c>
      <c r="D346" s="357">
        <f t="shared" ca="1" si="167"/>
        <v>1.1746564963889432</v>
      </c>
      <c r="J346" s="38">
        <f ca="1">J345</f>
        <v>-180613.51097137746</v>
      </c>
      <c r="K346" s="38">
        <f t="shared" si="169"/>
        <v>0</v>
      </c>
      <c r="L346" s="38">
        <f ca="1">IF($B346=L$341,L$339+L$337,L$339)</f>
        <v>212158.8339981442</v>
      </c>
      <c r="M346" s="38"/>
      <c r="N346" s="38"/>
      <c r="O346" s="38"/>
      <c r="P346" s="38"/>
    </row>
    <row r="347" spans="1:16" ht="14.7" customHeight="1" outlineLevel="1" x14ac:dyDescent="0.3">
      <c r="B347" s="358">
        <f t="shared" si="170"/>
        <v>0</v>
      </c>
      <c r="C347" s="356">
        <f t="shared" ca="1" si="166"/>
        <v>-2.2246322035789499E-2</v>
      </c>
      <c r="D347" s="357">
        <f t="shared" ca="1" si="167"/>
        <v>0.98872286267423248</v>
      </c>
      <c r="J347" s="38">
        <f ca="1">J346</f>
        <v>-180613.51097137746</v>
      </c>
      <c r="K347" s="38">
        <f ca="1">IF($B347=K$341,K$339+K$337,K$339)</f>
        <v>178576.70760526421</v>
      </c>
      <c r="L347" s="38"/>
      <c r="M347" s="38"/>
      <c r="N347" s="38"/>
      <c r="O347" s="38"/>
      <c r="P347" s="38"/>
    </row>
    <row r="348" spans="1:16" ht="14.7" customHeight="1" outlineLevel="1" x14ac:dyDescent="0.3">
      <c r="J348" s="38"/>
      <c r="K348" s="38"/>
      <c r="L348" s="38"/>
      <c r="M348" s="38"/>
      <c r="N348" s="38"/>
      <c r="O348" s="38"/>
      <c r="P348" s="38"/>
    </row>
    <row r="349" spans="1:16" ht="14.7" customHeight="1" outlineLevel="1" x14ac:dyDescent="0.3">
      <c r="J349" s="38"/>
      <c r="K349" s="38"/>
      <c r="L349" s="38"/>
      <c r="M349" s="38"/>
      <c r="N349" s="38"/>
      <c r="O349" s="38"/>
      <c r="P349" s="38"/>
    </row>
    <row r="350" spans="1:16" ht="14.7" customHeight="1" x14ac:dyDescent="0.3">
      <c r="A350" s="66" t="s">
        <v>3</v>
      </c>
      <c r="B350" s="186"/>
      <c r="C350" s="186"/>
      <c r="D350" s="186"/>
      <c r="E350" s="186"/>
      <c r="F350" s="186"/>
      <c r="G350" s="186"/>
      <c r="H350" s="186"/>
      <c r="I350" s="186"/>
      <c r="J350" s="238"/>
      <c r="K350" s="238"/>
      <c r="L350" s="238"/>
      <c r="M350" s="238"/>
      <c r="N350" s="238"/>
      <c r="O350" s="238"/>
      <c r="P350" s="238"/>
    </row>
  </sheetData>
  <mergeCells count="1">
    <mergeCell ref="R8:V13"/>
  </mergeCells>
  <conditionalFormatting sqref="F6">
    <cfRule type="containsText" dxfId="32" priority="39" operator="containsText" text="ERROR">
      <formula>NOT(ISERROR(SEARCH("ERROR",F6)))</formula>
    </cfRule>
    <cfRule type="containsText" dxfId="31" priority="38" operator="containsText" text="OK">
      <formula>NOT(ISERROR(SEARCH("OK",F6)))</formula>
    </cfRule>
  </conditionalFormatting>
  <conditionalFormatting sqref="H7:P7">
    <cfRule type="containsText" dxfId="30" priority="3" operator="containsText" text="OK">
      <formula>NOT(ISERROR(SEARCH("OK",H7)))</formula>
    </cfRule>
    <cfRule type="containsText" dxfId="29" priority="4" operator="containsText" text="ERROR">
      <formula>NOT(ISERROR(SEARCH("ERROR",H7)))</formula>
    </cfRule>
  </conditionalFormatting>
  <conditionalFormatting sqref="H11:P11">
    <cfRule type="containsText" dxfId="28" priority="1" operator="containsText" text="OK">
      <formula>NOT(ISERROR(SEARCH("OK",H11)))</formula>
    </cfRule>
    <cfRule type="containsText" dxfId="27" priority="2" operator="containsText" text="ERROR">
      <formula>NOT(ISERROR(SEARCH("ERROR",H11)))</formula>
    </cfRule>
  </conditionalFormatting>
  <conditionalFormatting sqref="I9:P9">
    <cfRule type="containsText" dxfId="26" priority="5" operator="containsText" text="OK">
      <formula>NOT(ISERROR(SEARCH("OK",I9)))</formula>
    </cfRule>
    <cfRule type="containsText" dxfId="25" priority="6" operator="containsText" text="ERROR">
      <formula>NOT(ISERROR(SEARCH("ERROR",I9)))</formula>
    </cfRule>
  </conditionalFormatting>
  <conditionalFormatting sqref="J25:P30">
    <cfRule type="containsText" dxfId="24" priority="41" operator="containsText" text="ERROR">
      <formula>NOT(ISERROR(SEARCH("ERROR",J25)))</formula>
    </cfRule>
    <cfRule type="containsText" dxfId="23" priority="40" operator="containsText" text="OK">
      <formula>NOT(ISERROR(SEARCH("OK",J25)))</formula>
    </cfRule>
  </conditionalFormatting>
  <conditionalFormatting sqref="J252:P252">
    <cfRule type="containsText" dxfId="22" priority="7" operator="containsText" text="OK">
      <formula>NOT(ISERROR(SEARCH("OK",J252)))</formula>
    </cfRule>
    <cfRule type="containsText" dxfId="21" priority="8" operator="containsText" text="ERROR">
      <formula>NOT(ISERROR(SEARCH("ERROR",J252)))</formula>
    </cfRule>
  </conditionalFormatting>
  <conditionalFormatting sqref="K117:P119">
    <cfRule type="containsText" dxfId="20" priority="34" operator="containsText" text="OK">
      <formula>NOT(ISERROR(SEARCH("OK",K117)))</formula>
    </cfRule>
    <cfRule type="containsText" dxfId="19" priority="35" operator="containsText" text="ERROR">
      <formula>NOT(ISERROR(SEARCH("ERROR",K117)))</formula>
    </cfRule>
  </conditionalFormatting>
  <conditionalFormatting sqref="K173:P173">
    <cfRule type="expression" dxfId="18" priority="27">
      <formula>K173=1</formula>
    </cfRule>
  </conditionalFormatting>
  <conditionalFormatting sqref="K175:P175">
    <cfRule type="containsText" dxfId="17" priority="32" operator="containsText" text="OK">
      <formula>NOT(ISERROR(SEARCH("OK",K175)))</formula>
    </cfRule>
    <cfRule type="containsText" dxfId="16" priority="33" operator="containsText" text="ERROR">
      <formula>NOT(ISERROR(SEARCH("ERROR",K175)))</formula>
    </cfRule>
  </conditionalFormatting>
  <conditionalFormatting sqref="K183:P183">
    <cfRule type="containsText" dxfId="15" priority="30" operator="containsText" text="OK">
      <formula>NOT(ISERROR(SEARCH("OK",K183)))</formula>
    </cfRule>
    <cfRule type="containsText" dxfId="14" priority="31" operator="containsText" text="ERROR">
      <formula>NOT(ISERROR(SEARCH("ERROR",K183)))</formula>
    </cfRule>
  </conditionalFormatting>
  <conditionalFormatting sqref="K194:P194">
    <cfRule type="containsText" dxfId="13" priority="25" operator="containsText" text="OK">
      <formula>NOT(ISERROR(SEARCH("OK",K194)))</formula>
    </cfRule>
    <cfRule type="containsText" dxfId="12" priority="26" operator="containsText" text="ERROR">
      <formula>NOT(ISERROR(SEARCH("ERROR",K194)))</formula>
    </cfRule>
  </conditionalFormatting>
  <conditionalFormatting sqref="K203:P203">
    <cfRule type="containsText" dxfId="11" priority="24" operator="containsText" text="ERROR">
      <formula>NOT(ISERROR(SEARCH("ERROR",K203)))</formula>
    </cfRule>
    <cfRule type="containsText" dxfId="10" priority="23" operator="containsText" text="OK">
      <formula>NOT(ISERROR(SEARCH("OK",K203)))</formula>
    </cfRule>
  </conditionalFormatting>
  <conditionalFormatting sqref="K209:P209">
    <cfRule type="containsText" dxfId="9" priority="22" operator="containsText" text="ERROR">
      <formula>NOT(ISERROR(SEARCH("ERROR",K209)))</formula>
    </cfRule>
    <cfRule type="containsText" dxfId="8" priority="21" operator="containsText" text="OK">
      <formula>NOT(ISERROR(SEARCH("OK",K209)))</formula>
    </cfRule>
  </conditionalFormatting>
  <conditionalFormatting sqref="K218:P218">
    <cfRule type="containsText" dxfId="7" priority="17" operator="containsText" text="OK">
      <formula>NOT(ISERROR(SEARCH("OK",K218)))</formula>
    </cfRule>
    <cfRule type="containsText" dxfId="6" priority="18" operator="containsText" text="ERROR">
      <formula>NOT(ISERROR(SEARCH("ERROR",K218)))</formula>
    </cfRule>
  </conditionalFormatting>
  <conditionalFormatting sqref="K231:P231">
    <cfRule type="containsText" dxfId="5" priority="11" operator="containsText" text="OK">
      <formula>NOT(ISERROR(SEARCH("OK",K231)))</formula>
    </cfRule>
    <cfRule type="containsText" dxfId="4" priority="12" operator="containsText" text="ERROR">
      <formula>NOT(ISERROR(SEARCH("ERROR",K231)))</formula>
    </cfRule>
  </conditionalFormatting>
  <conditionalFormatting sqref="K233:P235">
    <cfRule type="containsText" dxfId="3" priority="9" operator="containsText" text="OK">
      <formula>NOT(ISERROR(SEARCH("OK",K233)))</formula>
    </cfRule>
    <cfRule type="containsText" dxfId="2" priority="10" operator="containsText" text="ERROR">
      <formula>NOT(ISERROR(SEARCH("ERROR",K233)))</formula>
    </cfRule>
  </conditionalFormatting>
  <conditionalFormatting sqref="L183:P183">
    <cfRule type="containsText" dxfId="1" priority="28" operator="containsText" text="OK">
      <formula>NOT(ISERROR(SEARCH("OK",L183)))</formula>
    </cfRule>
    <cfRule type="containsText" dxfId="0" priority="29" operator="containsText" text="ERROR">
      <formula>NOT(ISERROR(SEARCH("ERROR",L183)))</formula>
    </cfRule>
  </conditionalFormatting>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1EB80-89E0-4E1A-A93C-C1EBA054CEB7}">
  <dimension ref="A1:S99"/>
  <sheetViews>
    <sheetView zoomScale="98" zoomScaleNormal="100" workbookViewId="0">
      <selection sqref="A1:D1"/>
    </sheetView>
  </sheetViews>
  <sheetFormatPr defaultColWidth="8.88671875" defaultRowHeight="13.2" x14ac:dyDescent="0.25"/>
  <cols>
    <col min="1" max="1" width="48.5546875" style="50" customWidth="1"/>
    <col min="2" max="6" width="17.5546875" style="50" customWidth="1"/>
    <col min="7" max="7" width="26.5546875" style="50" bestFit="1" customWidth="1"/>
    <col min="8" max="8" width="12.109375" style="50" bestFit="1" customWidth="1"/>
    <col min="9" max="15" width="9.88671875" style="50" bestFit="1" customWidth="1"/>
    <col min="16" max="17" width="8.88671875" style="50"/>
    <col min="18" max="18" width="26.5546875" style="50" bestFit="1" customWidth="1"/>
    <col min="19" max="16384" width="8.88671875" style="50"/>
  </cols>
  <sheetData>
    <row r="1" spans="1:19" ht="40.200000000000003" customHeight="1" x14ac:dyDescent="0.3">
      <c r="A1" s="515"/>
      <c r="B1" s="516"/>
      <c r="C1" s="516"/>
      <c r="D1" s="516"/>
    </row>
    <row r="2" spans="1:19" ht="30" customHeight="1" x14ac:dyDescent="0.3">
      <c r="A2" s="518" t="s">
        <v>490</v>
      </c>
      <c r="B2" s="519"/>
      <c r="C2" s="519"/>
      <c r="D2" s="519"/>
      <c r="E2" s="519"/>
      <c r="F2" s="519"/>
      <c r="G2" s="519"/>
      <c r="H2" s="519"/>
      <c r="I2" s="519"/>
      <c r="J2" s="519"/>
      <c r="K2" s="519"/>
      <c r="L2" s="519"/>
    </row>
    <row r="3" spans="1:19" x14ac:dyDescent="0.25">
      <c r="A3" s="53" t="s">
        <v>491</v>
      </c>
    </row>
    <row r="5" spans="1:19" ht="14.4" customHeight="1" thickBot="1" x14ac:dyDescent="0.35">
      <c r="A5" s="53" t="s">
        <v>492</v>
      </c>
      <c r="B5" s="51"/>
      <c r="H5" s="270">
        <v>24</v>
      </c>
      <c r="I5" s="270">
        <f>H5+1</f>
        <v>25</v>
      </c>
      <c r="J5" s="270">
        <f t="shared" ref="J5:N5" si="0">I5+1</f>
        <v>26</v>
      </c>
      <c r="K5" s="270">
        <f t="shared" si="0"/>
        <v>27</v>
      </c>
      <c r="L5" s="270">
        <f t="shared" si="0"/>
        <v>28</v>
      </c>
      <c r="M5" s="270">
        <f t="shared" si="0"/>
        <v>29</v>
      </c>
      <c r="N5" s="270">
        <f t="shared" si="0"/>
        <v>30</v>
      </c>
    </row>
    <row r="6" spans="1:19" ht="14.4" customHeight="1" x14ac:dyDescent="0.25">
      <c r="A6" s="53" t="s">
        <v>493</v>
      </c>
      <c r="B6" s="51"/>
      <c r="G6" s="50" t="s">
        <v>233</v>
      </c>
      <c r="H6" s="453">
        <f>'FS Model'!J42*-1/1000</f>
        <v>0.95366042251874616</v>
      </c>
      <c r="I6" s="453">
        <f>'FS Model'!K42*-1/1000</f>
        <v>2.5396878109724175</v>
      </c>
      <c r="J6" s="453">
        <f>'FS Model'!L42*-1/1000</f>
        <v>4.3414137629179628</v>
      </c>
      <c r="K6" s="453">
        <f>'FS Model'!M42*-1/1000</f>
        <v>6.3729605937253879</v>
      </c>
      <c r="L6" s="453">
        <f>'FS Model'!N42*-1/1000</f>
        <v>8.6373025588527472</v>
      </c>
      <c r="M6" s="453">
        <f>'FS Model'!O42*-1/1000</f>
        <v>11.124163278948277</v>
      </c>
      <c r="N6" s="453">
        <f>'FS Model'!P42*-1/1000</f>
        <v>13.809745776591077</v>
      </c>
    </row>
    <row r="7" spans="1:19" ht="14.4" customHeight="1" x14ac:dyDescent="0.3">
      <c r="A7" s="53" t="s">
        <v>494</v>
      </c>
      <c r="B7" s="51"/>
      <c r="G7" s="50" t="s">
        <v>145</v>
      </c>
      <c r="H7" s="360">
        <f>'FS Drivers and Inputs'!I53</f>
        <v>3.0065019376637149E-3</v>
      </c>
      <c r="I7" s="360">
        <f>'FS Drivers and Inputs'!J53</f>
        <v>7.5054182813864287E-3</v>
      </c>
      <c r="J7" s="360">
        <f>'FS Drivers and Inputs'!K53</f>
        <v>1.2004334625109143E-2</v>
      </c>
      <c r="K7" s="360">
        <f>'FS Drivers and Inputs'!L53</f>
        <v>1.6503250968831859E-2</v>
      </c>
      <c r="L7" s="360">
        <f>'FS Drivers and Inputs'!M53</f>
        <v>2.1002167312554575E-2</v>
      </c>
      <c r="M7" s="360">
        <f>'FS Drivers and Inputs'!N53</f>
        <v>2.550108365627729E-2</v>
      </c>
      <c r="N7" s="360">
        <f>'FS Drivers and Inputs'!O53</f>
        <v>0.03</v>
      </c>
    </row>
    <row r="8" spans="1:19" x14ac:dyDescent="0.25">
      <c r="A8" s="53" t="s">
        <v>495</v>
      </c>
      <c r="B8" s="51"/>
    </row>
    <row r="9" spans="1:19" ht="14.4" x14ac:dyDescent="0.3">
      <c r="A9" s="53" t="s">
        <v>496</v>
      </c>
      <c r="B9" s="51"/>
      <c r="G9" s="50" t="s">
        <v>497</v>
      </c>
      <c r="H9" s="254">
        <f>'FS Model'!J10</f>
        <v>203627.74619999997</v>
      </c>
      <c r="I9" s="254">
        <f>'FS Model'!K10</f>
        <v>227052.68478866664</v>
      </c>
      <c r="J9" s="254">
        <f>'FS Model'!L10</f>
        <v>251418.77748951924</v>
      </c>
      <c r="K9" s="254">
        <f>'FS Model'!M10</f>
        <v>276190.47282885842</v>
      </c>
      <c r="L9" s="254">
        <f>'FS Model'!N10</f>
        <v>300729.39233355585</v>
      </c>
      <c r="M9" s="254">
        <f>'FS Model'!O10</f>
        <v>324319.08014206862</v>
      </c>
      <c r="N9" s="254">
        <f>'FS Model'!P10</f>
        <v>346200.09137220937</v>
      </c>
    </row>
    <row r="10" spans="1:19" ht="14.4" x14ac:dyDescent="0.3">
      <c r="A10" s="53" t="s">
        <v>498</v>
      </c>
      <c r="B10" s="51"/>
      <c r="G10" s="50" t="s">
        <v>135</v>
      </c>
      <c r="H10" s="254">
        <f>'FS Model'!J15</f>
        <v>97217.073600000003</v>
      </c>
      <c r="I10" s="254">
        <f>'FS Model'!K15</f>
        <v>95000.143175333316</v>
      </c>
      <c r="J10" s="254">
        <f>'FS Model'!L15</f>
        <v>93879.326006864881</v>
      </c>
      <c r="K10" s="254">
        <f>'FS Model'!M15</f>
        <v>93535.153534282232</v>
      </c>
      <c r="L10" s="254">
        <f>'FS Model'!N15</f>
        <v>93952.324210811523</v>
      </c>
      <c r="M10" s="254">
        <f>'FS Model'!O15</f>
        <v>95134.366329510391</v>
      </c>
      <c r="N10" s="254">
        <f>'FS Model'!P15</f>
        <v>97103.509293474592</v>
      </c>
    </row>
    <row r="11" spans="1:19" ht="14.4" x14ac:dyDescent="0.3">
      <c r="A11" s="53" t="s">
        <v>499</v>
      </c>
      <c r="B11" s="51"/>
      <c r="G11" s="50" t="s">
        <v>500</v>
      </c>
      <c r="H11" s="254">
        <f>SUM('FS Model'!J20,'FS Model'!J22)</f>
        <v>16354.517600000001</v>
      </c>
      <c r="I11" s="254">
        <f>SUM('FS Model'!K20,'FS Model'!K22)</f>
        <v>16327.754670666665</v>
      </c>
      <c r="J11" s="254">
        <f>SUM('FS Model'!L20,'FS Model'!L22)</f>
        <v>16355.740593995111</v>
      </c>
      <c r="K11" s="254">
        <f>SUM('FS Model'!M20,'FS Model'!M22)</f>
        <v>16438.324349443246</v>
      </c>
      <c r="L11" s="254">
        <f>SUM('FS Model'!N20,'FS Model'!N22)</f>
        <v>16575.961309174047</v>
      </c>
      <c r="M11" s="254">
        <f>SUM('FS Model'!O20,'FS Model'!O22)</f>
        <v>16769.712861102078</v>
      </c>
      <c r="N11" s="254">
        <f>SUM('FS Model'!P20,'FS Model'!P22)</f>
        <v>17021.258554018608</v>
      </c>
    </row>
    <row r="12" spans="1:19" ht="15" thickBot="1" x14ac:dyDescent="0.35">
      <c r="A12" s="517"/>
      <c r="B12" s="516"/>
      <c r="C12" s="516"/>
      <c r="D12" s="516"/>
      <c r="E12" s="516"/>
    </row>
    <row r="13" spans="1:19" ht="14.4" x14ac:dyDescent="0.25">
      <c r="A13" s="49" t="s">
        <v>160</v>
      </c>
      <c r="B13" s="48" t="s">
        <v>161</v>
      </c>
      <c r="C13" s="48" t="s">
        <v>162</v>
      </c>
      <c r="D13" s="48" t="s">
        <v>163</v>
      </c>
      <c r="E13" s="48" t="s">
        <v>164</v>
      </c>
      <c r="F13" s="48" t="s">
        <v>165</v>
      </c>
    </row>
    <row r="14" spans="1:19" ht="14.4" x14ac:dyDescent="0.25">
      <c r="A14" s="53" t="s">
        <v>3</v>
      </c>
      <c r="B14" s="54" t="s">
        <v>166</v>
      </c>
      <c r="C14" s="54" t="s">
        <v>166</v>
      </c>
      <c r="D14" s="54" t="s">
        <v>166</v>
      </c>
      <c r="E14" s="54" t="s">
        <v>166</v>
      </c>
      <c r="F14" s="59" t="s">
        <v>166</v>
      </c>
    </row>
    <row r="15" spans="1:19" ht="14.4" x14ac:dyDescent="0.3">
      <c r="A15" s="53" t="s">
        <v>167</v>
      </c>
      <c r="B15" s="57">
        <v>44196</v>
      </c>
      <c r="C15" s="57">
        <v>44561</v>
      </c>
      <c r="D15" s="57">
        <v>44926</v>
      </c>
      <c r="E15" s="57">
        <v>45291</v>
      </c>
      <c r="F15" s="60">
        <v>45565</v>
      </c>
      <c r="O15" s="31">
        <v>2023</v>
      </c>
      <c r="P15" s="451"/>
      <c r="Q15" s="451"/>
      <c r="R15" s="451"/>
      <c r="S15" s="451">
        <v>2023</v>
      </c>
    </row>
    <row r="16" spans="1:19" ht="14.4" x14ac:dyDescent="0.3">
      <c r="A16" s="53" t="s">
        <v>168</v>
      </c>
      <c r="B16" s="57">
        <v>44270</v>
      </c>
      <c r="C16" s="57">
        <v>44634</v>
      </c>
      <c r="D16" s="57">
        <v>45005</v>
      </c>
      <c r="E16" s="57">
        <v>45378</v>
      </c>
      <c r="F16" s="60">
        <v>45603</v>
      </c>
      <c r="L16" s="66"/>
      <c r="M16" s="66"/>
      <c r="N16" s="66"/>
    </row>
    <row r="17" spans="1:19" ht="14.4" x14ac:dyDescent="0.3">
      <c r="A17" s="53" t="s">
        <v>171</v>
      </c>
      <c r="B17" s="54" t="s">
        <v>172</v>
      </c>
      <c r="C17" s="54" t="s">
        <v>172</v>
      </c>
      <c r="D17" s="54" t="s">
        <v>172</v>
      </c>
      <c r="E17" s="54" t="s">
        <v>172</v>
      </c>
      <c r="F17" s="59" t="s">
        <v>172</v>
      </c>
      <c r="L17" s="259" t="s">
        <v>129</v>
      </c>
      <c r="M17" s="66"/>
      <c r="N17" s="66"/>
      <c r="O17" s="29">
        <v>78553.399999999994</v>
      </c>
      <c r="R17" s="50" t="s">
        <v>497</v>
      </c>
      <c r="S17" s="450">
        <v>181727.8</v>
      </c>
    </row>
    <row r="18" spans="1:19" ht="14.4" x14ac:dyDescent="0.3">
      <c r="A18" s="53" t="s">
        <v>3</v>
      </c>
      <c r="B18" s="54"/>
      <c r="C18" s="54"/>
      <c r="D18" s="54"/>
      <c r="E18" s="54"/>
      <c r="F18" s="59"/>
      <c r="L18" s="259" t="s">
        <v>133</v>
      </c>
      <c r="M18" s="66"/>
      <c r="N18" s="66"/>
      <c r="O18" s="29">
        <v>103174.39999999999</v>
      </c>
      <c r="R18" s="50" t="s">
        <v>135</v>
      </c>
      <c r="S18" s="450">
        <v>100690.4</v>
      </c>
    </row>
    <row r="19" spans="1:19" ht="14.4" x14ac:dyDescent="0.3">
      <c r="A19" s="55" t="s">
        <v>174</v>
      </c>
      <c r="B19" s="54"/>
      <c r="C19" s="54"/>
      <c r="D19" s="54"/>
      <c r="E19" s="54"/>
      <c r="F19" s="59"/>
      <c r="L19" s="259" t="s">
        <v>135</v>
      </c>
      <c r="M19" s="66"/>
      <c r="N19" s="66"/>
      <c r="O19" s="29">
        <v>86546.2</v>
      </c>
      <c r="R19" s="50" t="s">
        <v>500</v>
      </c>
      <c r="S19" s="450">
        <v>16436.8</v>
      </c>
    </row>
    <row r="20" spans="1:19" ht="14.4" x14ac:dyDescent="0.3">
      <c r="A20" s="53" t="s">
        <v>79</v>
      </c>
      <c r="B20" s="52">
        <v>240953</v>
      </c>
      <c r="C20" s="52">
        <v>257891</v>
      </c>
      <c r="D20" s="52">
        <v>278783</v>
      </c>
      <c r="E20" s="52">
        <v>298855</v>
      </c>
      <c r="F20" s="61">
        <v>312109</v>
      </c>
      <c r="G20" s="63"/>
      <c r="L20" s="259" t="s">
        <v>136</v>
      </c>
      <c r="M20" s="66"/>
      <c r="N20" s="66"/>
      <c r="O20" s="29">
        <v>14144.2</v>
      </c>
      <c r="S20" s="449">
        <f>SUM(S17:S19)</f>
        <v>298854.99999999994</v>
      </c>
    </row>
    <row r="21" spans="1:19" ht="14.4" x14ac:dyDescent="0.3">
      <c r="A21" s="53" t="s">
        <v>176</v>
      </c>
      <c r="B21" s="52">
        <v>240953</v>
      </c>
      <c r="C21" s="52">
        <v>257891</v>
      </c>
      <c r="D21" s="52">
        <v>278783</v>
      </c>
      <c r="E21" s="52">
        <v>298855</v>
      </c>
      <c r="F21" s="61">
        <v>312109</v>
      </c>
      <c r="H21" s="61">
        <v>26800</v>
      </c>
      <c r="L21" s="259" t="s">
        <v>371</v>
      </c>
      <c r="M21" s="66"/>
      <c r="N21" s="66"/>
      <c r="O21" s="29">
        <v>2906.4</v>
      </c>
      <c r="Q21" s="449">
        <f>SUM(O17:O22)</f>
        <v>298855.00000000006</v>
      </c>
      <c r="R21" s="449"/>
    </row>
    <row r="22" spans="1:19" ht="14.4" x14ac:dyDescent="0.3">
      <c r="A22" s="53" t="s">
        <v>178</v>
      </c>
      <c r="B22" s="52">
        <v>186105</v>
      </c>
      <c r="C22" s="52">
        <v>201055</v>
      </c>
      <c r="D22" s="52">
        <v>217216</v>
      </c>
      <c r="E22" s="52">
        <v>231619</v>
      </c>
      <c r="F22" s="61">
        <v>239354</v>
      </c>
      <c r="L22" s="259" t="s">
        <v>372</v>
      </c>
      <c r="M22" s="66"/>
      <c r="N22" s="66"/>
      <c r="O22" s="29">
        <v>13530.4</v>
      </c>
    </row>
    <row r="23" spans="1:19" ht="14.4" x14ac:dyDescent="0.25">
      <c r="A23" s="53" t="s">
        <v>179</v>
      </c>
      <c r="B23" s="52">
        <v>54848</v>
      </c>
      <c r="C23" s="52">
        <v>56836</v>
      </c>
      <c r="D23" s="52">
        <v>61567</v>
      </c>
      <c r="E23" s="52">
        <v>67236</v>
      </c>
      <c r="F23" s="61">
        <v>72755</v>
      </c>
      <c r="H23" s="63">
        <f>F23-F31+SUM(F28:F29)</f>
        <v>22723</v>
      </c>
    </row>
    <row r="24" spans="1:19" ht="14.4" x14ac:dyDescent="0.25">
      <c r="A24" s="53" t="s">
        <v>3</v>
      </c>
      <c r="B24" s="54"/>
      <c r="C24" s="54"/>
      <c r="D24" s="54"/>
      <c r="E24" s="54"/>
      <c r="F24" s="59"/>
    </row>
    <row r="25" spans="1:19" ht="14.4" x14ac:dyDescent="0.25">
      <c r="A25" s="53" t="s">
        <v>181</v>
      </c>
      <c r="B25" s="52">
        <v>35788</v>
      </c>
      <c r="C25" s="52">
        <v>36761</v>
      </c>
      <c r="D25" s="52">
        <v>40113</v>
      </c>
      <c r="E25" s="52">
        <v>42762</v>
      </c>
      <c r="F25" s="61">
        <v>46963</v>
      </c>
    </row>
    <row r="26" spans="1:19" ht="14.4" x14ac:dyDescent="0.25">
      <c r="A26" s="53" t="s">
        <v>182</v>
      </c>
      <c r="B26" s="52">
        <v>3</v>
      </c>
      <c r="C26" s="52">
        <v>-125</v>
      </c>
      <c r="D26" s="52">
        <v>-85</v>
      </c>
      <c r="E26" s="52">
        <v>62</v>
      </c>
      <c r="F26" s="61">
        <v>62</v>
      </c>
    </row>
    <row r="27" spans="1:19" ht="14.4" x14ac:dyDescent="0.25">
      <c r="A27" s="53" t="s">
        <v>183</v>
      </c>
      <c r="B27" s="52">
        <v>634</v>
      </c>
      <c r="C27" s="52">
        <v>628</v>
      </c>
      <c r="D27" s="52">
        <v>577</v>
      </c>
      <c r="E27" s="52">
        <v>918</v>
      </c>
      <c r="F27" s="61">
        <v>918</v>
      </c>
    </row>
    <row r="28" spans="1:19" ht="14.4" x14ac:dyDescent="0.25">
      <c r="A28" s="53" t="s">
        <v>184</v>
      </c>
      <c r="B28" s="52">
        <v>602</v>
      </c>
      <c r="C28" s="52">
        <v>633</v>
      </c>
      <c r="D28" s="52">
        <v>608</v>
      </c>
      <c r="E28" s="52">
        <v>658</v>
      </c>
      <c r="F28" s="61">
        <v>658</v>
      </c>
    </row>
    <row r="29" spans="1:19" ht="14.4" x14ac:dyDescent="0.25">
      <c r="A29" s="53" t="s">
        <v>186</v>
      </c>
      <c r="B29" s="52">
        <v>59</v>
      </c>
      <c r="C29" s="52">
        <v>59</v>
      </c>
      <c r="D29" s="52">
        <v>61</v>
      </c>
      <c r="E29" s="52">
        <v>63</v>
      </c>
      <c r="F29" s="61">
        <v>63</v>
      </c>
    </row>
    <row r="30" spans="1:19" ht="14.4" x14ac:dyDescent="0.25">
      <c r="A30" s="53" t="s">
        <v>187</v>
      </c>
      <c r="B30" s="52">
        <v>1789</v>
      </c>
      <c r="C30" s="52">
        <v>1916</v>
      </c>
      <c r="D30" s="52">
        <v>1926</v>
      </c>
      <c r="E30" s="52">
        <v>2089</v>
      </c>
      <c r="F30" s="61">
        <v>2089</v>
      </c>
    </row>
    <row r="31" spans="1:19" ht="14.4" x14ac:dyDescent="0.25">
      <c r="A31" s="53" t="s">
        <v>189</v>
      </c>
      <c r="B31" s="52">
        <v>38875</v>
      </c>
      <c r="C31" s="52">
        <v>39872</v>
      </c>
      <c r="D31" s="52">
        <v>43200</v>
      </c>
      <c r="E31" s="52">
        <v>46552</v>
      </c>
      <c r="F31" s="61">
        <v>50753</v>
      </c>
    </row>
    <row r="32" spans="1:19" ht="14.4" x14ac:dyDescent="0.25">
      <c r="A32" s="53" t="s">
        <v>190</v>
      </c>
      <c r="B32" s="52">
        <v>15973</v>
      </c>
      <c r="C32" s="52">
        <v>16964</v>
      </c>
      <c r="D32" s="52">
        <v>18367</v>
      </c>
      <c r="E32" s="52">
        <v>20684</v>
      </c>
      <c r="F32" s="61">
        <v>22002</v>
      </c>
    </row>
    <row r="33" spans="1:8" ht="14.4" x14ac:dyDescent="0.25">
      <c r="A33" s="53" t="s">
        <v>3</v>
      </c>
      <c r="B33" s="54"/>
      <c r="C33" s="54"/>
      <c r="D33" s="54"/>
      <c r="E33" s="54"/>
      <c r="F33" s="59"/>
    </row>
    <row r="34" spans="1:8" ht="14.4" x14ac:dyDescent="0.25">
      <c r="A34" s="53" t="s">
        <v>501</v>
      </c>
      <c r="B34" s="54">
        <f>SUM('Balance Sheet'!B38:B39,'Balance Sheet'!B43)</f>
        <v>44671</v>
      </c>
      <c r="C34" s="54"/>
      <c r="D34" s="54"/>
      <c r="E34" s="54"/>
      <c r="F34" s="59"/>
    </row>
    <row r="35" spans="1:8" ht="14.4" x14ac:dyDescent="0.25">
      <c r="A35" s="55" t="s">
        <v>502</v>
      </c>
      <c r="B35" s="337">
        <f>-B36/'Balance Sheet'!B64</f>
        <v>1.4550827158559244E-3</v>
      </c>
      <c r="C35" s="337">
        <f>-C36/'Balance Sheet'!C64</f>
        <v>2.0119328430692382E-3</v>
      </c>
      <c r="D35" s="337">
        <f>-D36/'Balance Sheet'!D64</f>
        <v>1.8394774382461145E-3</v>
      </c>
      <c r="E35" s="337">
        <f>-E36/'Balance Sheet'!E64</f>
        <v>7.4965016325714666E-4</v>
      </c>
      <c r="F35" s="338">
        <f>-F36/'Balance Sheet'!F64</f>
        <v>2.9612201849748498E-3</v>
      </c>
    </row>
    <row r="36" spans="1:8" ht="14.4" x14ac:dyDescent="0.25">
      <c r="A36" s="53" t="s">
        <v>192</v>
      </c>
      <c r="B36" s="52">
        <v>-65</v>
      </c>
      <c r="C36" s="52">
        <v>-58</v>
      </c>
      <c r="D36" s="52">
        <v>-49</v>
      </c>
      <c r="E36" s="52">
        <v>-45</v>
      </c>
      <c r="F36" s="61">
        <v>-146</v>
      </c>
    </row>
    <row r="37" spans="1:8" ht="14.4" x14ac:dyDescent="0.25">
      <c r="A37" s="53" t="s">
        <v>193</v>
      </c>
      <c r="B37" s="52">
        <v>299</v>
      </c>
      <c r="C37" s="52">
        <v>296</v>
      </c>
      <c r="D37" s="52">
        <v>318</v>
      </c>
      <c r="E37" s="52">
        <v>482</v>
      </c>
      <c r="F37" s="61">
        <v>480</v>
      </c>
    </row>
    <row r="38" spans="1:8" ht="14.4" x14ac:dyDescent="0.25">
      <c r="A38" s="53" t="s">
        <v>194</v>
      </c>
      <c r="B38" s="52">
        <v>234</v>
      </c>
      <c r="C38" s="52">
        <v>238</v>
      </c>
      <c r="D38" s="52">
        <v>269</v>
      </c>
      <c r="E38" s="52">
        <v>437</v>
      </c>
      <c r="F38" s="61">
        <v>334</v>
      </c>
    </row>
    <row r="39" spans="1:8" ht="14.4" x14ac:dyDescent="0.25">
      <c r="A39" s="53" t="s">
        <v>195</v>
      </c>
      <c r="B39" s="52">
        <v>292</v>
      </c>
      <c r="C39" s="52">
        <v>176</v>
      </c>
      <c r="D39" s="52">
        <v>35</v>
      </c>
      <c r="E39" s="52">
        <v>-126</v>
      </c>
      <c r="F39" s="61">
        <v>58</v>
      </c>
    </row>
    <row r="40" spans="1:8" ht="14.4" x14ac:dyDescent="0.25">
      <c r="A40" s="53" t="s">
        <v>196</v>
      </c>
      <c r="B40" s="52">
        <v>-104</v>
      </c>
      <c r="C40" s="52">
        <v>578</v>
      </c>
      <c r="D40" s="52">
        <v>620</v>
      </c>
      <c r="E40" s="52">
        <v>236</v>
      </c>
      <c r="F40" s="61">
        <v>-31</v>
      </c>
    </row>
    <row r="41" spans="1:8" ht="14.4" x14ac:dyDescent="0.25">
      <c r="A41" s="53" t="s">
        <v>197</v>
      </c>
      <c r="B41" s="52">
        <v>7</v>
      </c>
      <c r="C41" s="52">
        <v>190</v>
      </c>
      <c r="D41" s="52">
        <v>112</v>
      </c>
      <c r="E41" s="52">
        <v>-1485</v>
      </c>
      <c r="F41" s="61">
        <v>-1929</v>
      </c>
    </row>
    <row r="42" spans="1:8" ht="14.4" x14ac:dyDescent="0.25">
      <c r="A42" s="53" t="s">
        <v>198</v>
      </c>
      <c r="B42" s="52">
        <v>16402</v>
      </c>
      <c r="C42" s="52">
        <v>18146</v>
      </c>
      <c r="D42" s="52">
        <v>19403</v>
      </c>
      <c r="E42" s="52">
        <v>19746</v>
      </c>
      <c r="F42" s="61">
        <v>20434</v>
      </c>
      <c r="H42" s="63">
        <f>SUM(D32,D38,D39:D41)</f>
        <v>19403</v>
      </c>
    </row>
    <row r="43" spans="1:8" ht="14.4" x14ac:dyDescent="0.25">
      <c r="A43" s="53" t="s">
        <v>199</v>
      </c>
      <c r="B43" s="52">
        <v>36</v>
      </c>
      <c r="C43" s="52">
        <v>527</v>
      </c>
      <c r="D43" s="52">
        <v>4</v>
      </c>
      <c r="E43" s="52">
        <v>489</v>
      </c>
      <c r="F43" s="61">
        <v>473</v>
      </c>
    </row>
    <row r="44" spans="1:8" ht="14.4" x14ac:dyDescent="0.25">
      <c r="A44" s="53" t="s">
        <v>200</v>
      </c>
      <c r="B44" s="52">
        <v>-61</v>
      </c>
      <c r="C44" s="52">
        <v>-46</v>
      </c>
      <c r="D44" s="52">
        <v>-104</v>
      </c>
      <c r="E44" s="52">
        <v>400</v>
      </c>
      <c r="F44" s="61">
        <v>7885</v>
      </c>
    </row>
    <row r="45" spans="1:8" ht="14.4" x14ac:dyDescent="0.25">
      <c r="A45" s="53" t="s">
        <v>201</v>
      </c>
      <c r="B45" s="52">
        <v>-81</v>
      </c>
      <c r="C45" s="52">
        <v>-634</v>
      </c>
      <c r="D45" s="52">
        <v>-620</v>
      </c>
      <c r="E45" s="52">
        <v>-127</v>
      </c>
      <c r="F45" s="61">
        <v>-39</v>
      </c>
    </row>
    <row r="46" spans="1:8" ht="14.4" x14ac:dyDescent="0.25">
      <c r="A46" s="53" t="s">
        <v>202</v>
      </c>
      <c r="B46" s="52">
        <v>-650</v>
      </c>
      <c r="C46" s="52">
        <v>-328</v>
      </c>
      <c r="D46" s="52">
        <v>-399</v>
      </c>
      <c r="E46" s="52">
        <v>-70</v>
      </c>
      <c r="F46" s="61">
        <v>-235</v>
      </c>
    </row>
    <row r="47" spans="1:8" ht="14.4" x14ac:dyDescent="0.25">
      <c r="A47" s="53" t="s">
        <v>203</v>
      </c>
      <c r="B47" s="52">
        <v>15646</v>
      </c>
      <c r="C47" s="52">
        <v>17665</v>
      </c>
      <c r="D47" s="52">
        <v>18284</v>
      </c>
      <c r="E47" s="52">
        <v>20438</v>
      </c>
      <c r="F47" s="61">
        <v>28518</v>
      </c>
    </row>
    <row r="48" spans="1:8" ht="14.4" x14ac:dyDescent="0.25">
      <c r="A48" s="53" t="s">
        <v>3</v>
      </c>
      <c r="B48" s="54"/>
      <c r="C48" s="54"/>
      <c r="D48" s="54"/>
      <c r="E48" s="54"/>
      <c r="F48" s="59"/>
    </row>
    <row r="49" spans="1:6" ht="14.4" x14ac:dyDescent="0.25">
      <c r="A49" s="53" t="s">
        <v>204</v>
      </c>
      <c r="B49" s="52">
        <v>5213</v>
      </c>
      <c r="C49" s="52">
        <v>6329</v>
      </c>
      <c r="D49" s="52">
        <v>4896</v>
      </c>
      <c r="E49" s="52">
        <v>6747</v>
      </c>
      <c r="F49" s="61">
        <v>9392</v>
      </c>
    </row>
    <row r="50" spans="1:6" ht="14.4" x14ac:dyDescent="0.25">
      <c r="A50" s="53" t="s">
        <v>205</v>
      </c>
      <c r="B50" s="52">
        <v>10433</v>
      </c>
      <c r="C50" s="52">
        <v>11336</v>
      </c>
      <c r="D50" s="52">
        <v>13388</v>
      </c>
      <c r="E50" s="52">
        <v>13691</v>
      </c>
      <c r="F50" s="61">
        <v>19126</v>
      </c>
    </row>
    <row r="51" spans="1:6" ht="14.4" x14ac:dyDescent="0.25">
      <c r="A51" s="53" t="s">
        <v>206</v>
      </c>
      <c r="B51" s="52">
        <v>10433</v>
      </c>
      <c r="C51" s="52">
        <v>11336</v>
      </c>
      <c r="D51" s="52">
        <v>13388</v>
      </c>
      <c r="E51" s="52">
        <v>13691</v>
      </c>
      <c r="F51" s="61">
        <v>19126</v>
      </c>
    </row>
    <row r="52" spans="1:6" ht="14.4" x14ac:dyDescent="0.25">
      <c r="A52" s="53" t="s">
        <v>207</v>
      </c>
      <c r="B52" s="52">
        <v>-1860</v>
      </c>
      <c r="C52" s="52">
        <v>-2206</v>
      </c>
      <c r="D52" s="52">
        <v>-2009</v>
      </c>
      <c r="E52" s="52">
        <v>-1842</v>
      </c>
      <c r="F52" s="61">
        <v>-507</v>
      </c>
    </row>
    <row r="53" spans="1:6" ht="14.4" x14ac:dyDescent="0.25">
      <c r="A53" s="53" t="s">
        <v>208</v>
      </c>
      <c r="B53" s="52">
        <v>8573</v>
      </c>
      <c r="C53" s="52">
        <v>9130</v>
      </c>
      <c r="D53" s="52">
        <v>11379</v>
      </c>
      <c r="E53" s="52">
        <v>11849</v>
      </c>
      <c r="F53" s="61">
        <v>18619</v>
      </c>
    </row>
    <row r="54" spans="1:6" ht="14.4" x14ac:dyDescent="0.25">
      <c r="A54" s="53" t="s">
        <v>209</v>
      </c>
      <c r="B54" s="52">
        <v>8573</v>
      </c>
      <c r="C54" s="52">
        <v>9130</v>
      </c>
      <c r="D54" s="52">
        <v>11379</v>
      </c>
      <c r="E54" s="52">
        <v>11849</v>
      </c>
      <c r="F54" s="61">
        <v>18619</v>
      </c>
    </row>
    <row r="55" spans="1:6" ht="14.4" x14ac:dyDescent="0.25">
      <c r="A55" s="53" t="s">
        <v>210</v>
      </c>
      <c r="B55" s="52">
        <v>8573</v>
      </c>
      <c r="C55" s="52">
        <v>9130</v>
      </c>
      <c r="D55" s="52">
        <v>11379</v>
      </c>
      <c r="E55" s="52">
        <v>11849</v>
      </c>
      <c r="F55" s="61">
        <v>18619</v>
      </c>
    </row>
    <row r="56" spans="1:6" ht="14.4" x14ac:dyDescent="0.25">
      <c r="A56" s="55" t="s">
        <v>211</v>
      </c>
      <c r="B56" s="54"/>
      <c r="C56" s="54"/>
      <c r="D56" s="54"/>
      <c r="E56" s="54"/>
      <c r="F56" s="59"/>
    </row>
    <row r="57" spans="1:6" ht="14.4" x14ac:dyDescent="0.25">
      <c r="A57" s="53" t="s">
        <v>212</v>
      </c>
      <c r="B57" s="56">
        <v>136.97999999999999</v>
      </c>
      <c r="C57" s="56">
        <v>145.72999999999999</v>
      </c>
      <c r="D57" s="56">
        <v>181.28100000000001</v>
      </c>
      <c r="E57" s="56">
        <v>188.47399999999999</v>
      </c>
      <c r="F57" s="62">
        <v>295.81200000000001</v>
      </c>
    </row>
    <row r="58" spans="1:6" ht="14.4" x14ac:dyDescent="0.25">
      <c r="A58" s="53" t="s">
        <v>213</v>
      </c>
      <c r="B58" s="56">
        <v>136.97999999999999</v>
      </c>
      <c r="C58" s="56">
        <v>145.72999999999999</v>
      </c>
      <c r="D58" s="56">
        <v>181.28100000000001</v>
      </c>
      <c r="E58" s="56">
        <v>188.47399999999999</v>
      </c>
      <c r="F58" s="62">
        <v>295.81200000000001</v>
      </c>
    </row>
    <row r="59" spans="1:6" ht="14.4" x14ac:dyDescent="0.25">
      <c r="A59" s="53" t="s">
        <v>214</v>
      </c>
      <c r="B59" s="52">
        <v>62586000</v>
      </c>
      <c r="C59" s="52">
        <v>62650000</v>
      </c>
      <c r="D59" s="52">
        <v>62770000</v>
      </c>
      <c r="E59" s="52">
        <v>62868000</v>
      </c>
      <c r="F59" s="61">
        <v>62942063</v>
      </c>
    </row>
    <row r="60" spans="1:6" ht="14.4" x14ac:dyDescent="0.25">
      <c r="A60" s="53" t="s">
        <v>215</v>
      </c>
      <c r="B60" s="56">
        <v>136.97999999999999</v>
      </c>
      <c r="C60" s="56">
        <v>145.59</v>
      </c>
      <c r="D60" s="56">
        <v>181.07499999999999</v>
      </c>
      <c r="E60" s="56">
        <v>188.11</v>
      </c>
      <c r="F60" s="62">
        <v>287.92099999999999</v>
      </c>
    </row>
    <row r="61" spans="1:6" ht="14.4" x14ac:dyDescent="0.25">
      <c r="A61" s="53" t="s">
        <v>216</v>
      </c>
      <c r="B61" s="56">
        <v>136.97999999999999</v>
      </c>
      <c r="C61" s="56">
        <v>145.59</v>
      </c>
      <c r="D61" s="56">
        <v>181.07499999999999</v>
      </c>
      <c r="E61" s="56">
        <v>188.11</v>
      </c>
      <c r="F61" s="62">
        <v>287.92099999999999</v>
      </c>
    </row>
    <row r="62" spans="1:6" ht="14.4" x14ac:dyDescent="0.25">
      <c r="A62" s="53" t="s">
        <v>217</v>
      </c>
      <c r="B62" s="52">
        <v>62586000</v>
      </c>
      <c r="C62" s="52">
        <v>62710934</v>
      </c>
      <c r="D62" s="52">
        <v>62842544</v>
      </c>
      <c r="E62" s="52">
        <v>67319000</v>
      </c>
      <c r="F62" s="61">
        <v>67496038</v>
      </c>
    </row>
    <row r="63" spans="1:6" ht="14.4" x14ac:dyDescent="0.25">
      <c r="A63" s="53" t="s">
        <v>218</v>
      </c>
      <c r="B63" s="56">
        <v>134.07599999999999</v>
      </c>
      <c r="C63" s="56">
        <v>145.81399999999999</v>
      </c>
      <c r="D63" s="56">
        <v>161.19</v>
      </c>
      <c r="E63" s="56">
        <v>167.005</v>
      </c>
      <c r="F63" s="62">
        <v>194.85</v>
      </c>
    </row>
    <row r="64" spans="1:6" ht="14.4" x14ac:dyDescent="0.25">
      <c r="A64" s="53" t="s">
        <v>219</v>
      </c>
      <c r="B64" s="56">
        <v>134.07599999999999</v>
      </c>
      <c r="C64" s="56">
        <v>145.672</v>
      </c>
      <c r="D64" s="56">
        <v>161.00399999999999</v>
      </c>
      <c r="E64" s="56">
        <v>155.96299999999999</v>
      </c>
      <c r="F64" s="62">
        <v>181.703</v>
      </c>
    </row>
    <row r="65" spans="1:8" ht="14.4" x14ac:dyDescent="0.25">
      <c r="A65" s="53" t="s">
        <v>220</v>
      </c>
      <c r="B65" s="56">
        <v>23</v>
      </c>
      <c r="C65" s="56">
        <v>26</v>
      </c>
      <c r="D65" s="56">
        <v>63.5</v>
      </c>
      <c r="E65" s="56">
        <v>68.5</v>
      </c>
      <c r="F65" s="62">
        <v>76.5</v>
      </c>
    </row>
    <row r="66" spans="1:8" ht="14.4" x14ac:dyDescent="0.25">
      <c r="A66" s="53" t="s">
        <v>221</v>
      </c>
      <c r="B66" s="56">
        <v>18.231999999999999</v>
      </c>
      <c r="C66" s="56">
        <v>16.812999999999999</v>
      </c>
      <c r="D66" s="56">
        <v>22.041</v>
      </c>
      <c r="E66" s="56">
        <v>37.362000000000002</v>
      </c>
      <c r="F66" s="62">
        <v>25.85</v>
      </c>
    </row>
    <row r="67" spans="1:8" ht="14.4" x14ac:dyDescent="0.25">
      <c r="A67" s="55" t="s">
        <v>222</v>
      </c>
      <c r="B67" s="54"/>
      <c r="C67" s="54"/>
      <c r="D67" s="54"/>
      <c r="E67" s="54"/>
      <c r="F67" s="59"/>
    </row>
    <row r="68" spans="1:8" ht="14.4" x14ac:dyDescent="0.25">
      <c r="A68" s="53" t="s">
        <v>18</v>
      </c>
      <c r="B68" s="52">
        <v>21975</v>
      </c>
      <c r="C68" s="52">
        <v>22504</v>
      </c>
      <c r="D68" s="52">
        <v>22500</v>
      </c>
      <c r="E68" s="52">
        <v>24868</v>
      </c>
      <c r="F68" s="61">
        <v>26800</v>
      </c>
      <c r="H68" s="63"/>
    </row>
    <row r="69" spans="1:8" ht="14.4" x14ac:dyDescent="0.25">
      <c r="A69" s="53" t="s">
        <v>223</v>
      </c>
      <c r="B69" s="52">
        <v>16032</v>
      </c>
      <c r="C69" s="52">
        <v>17023</v>
      </c>
      <c r="D69" s="52">
        <v>18428</v>
      </c>
      <c r="E69" s="52">
        <v>20747</v>
      </c>
      <c r="F69" s="61">
        <v>22065</v>
      </c>
    </row>
    <row r="70" spans="1:8" ht="14.4" x14ac:dyDescent="0.25">
      <c r="A70" s="53" t="s">
        <v>224</v>
      </c>
      <c r="B70" s="52">
        <v>15973</v>
      </c>
      <c r="C70" s="52">
        <v>16964</v>
      </c>
      <c r="D70" s="52">
        <v>18367</v>
      </c>
      <c r="E70" s="52">
        <v>20684</v>
      </c>
      <c r="F70" s="61">
        <v>22002</v>
      </c>
    </row>
    <row r="71" spans="1:8" x14ac:dyDescent="0.25">
      <c r="A71" s="53" t="s">
        <v>225</v>
      </c>
      <c r="B71" s="52">
        <v>23187</v>
      </c>
      <c r="C71" s="52">
        <v>23528</v>
      </c>
      <c r="D71" s="52">
        <v>23584</v>
      </c>
      <c r="E71" s="52">
        <v>25849</v>
      </c>
    </row>
    <row r="72" spans="1:8" ht="14.4" x14ac:dyDescent="0.25">
      <c r="A72" s="53" t="s">
        <v>226</v>
      </c>
      <c r="B72" s="56">
        <v>33.317999999999998</v>
      </c>
      <c r="C72" s="56">
        <v>35.828000000000003</v>
      </c>
      <c r="D72" s="56">
        <v>26.777999999999999</v>
      </c>
      <c r="E72" s="56">
        <v>33.012</v>
      </c>
      <c r="F72" s="62">
        <v>32.933999999999997</v>
      </c>
    </row>
    <row r="73" spans="1:8" ht="14.4" x14ac:dyDescent="0.25">
      <c r="A73" s="53" t="s">
        <v>227</v>
      </c>
      <c r="B73" s="52">
        <v>8391.25</v>
      </c>
      <c r="C73" s="52">
        <v>9135.25</v>
      </c>
      <c r="D73" s="52">
        <v>10117.875</v>
      </c>
      <c r="E73" s="52">
        <v>10499.25</v>
      </c>
      <c r="F73" s="61">
        <v>12264.25</v>
      </c>
    </row>
    <row r="74" spans="1:8" ht="14.4" x14ac:dyDescent="0.25">
      <c r="A74" s="53" t="s">
        <v>228</v>
      </c>
      <c r="B74" s="52">
        <v>-97</v>
      </c>
      <c r="C74" s="52">
        <v>-175</v>
      </c>
      <c r="D74" s="52">
        <v>-195</v>
      </c>
      <c r="E74" s="52">
        <v>-105</v>
      </c>
      <c r="F74" s="59"/>
    </row>
    <row r="75" spans="1:8" x14ac:dyDescent="0.25">
      <c r="A75" s="55" t="s">
        <v>229</v>
      </c>
      <c r="B75" s="54"/>
      <c r="C75" s="54"/>
      <c r="D75" s="54"/>
      <c r="E75" s="54"/>
    </row>
    <row r="76" spans="1:8" ht="14.4" x14ac:dyDescent="0.25">
      <c r="A76" s="53" t="s">
        <v>230</v>
      </c>
      <c r="B76" s="52">
        <v>237</v>
      </c>
      <c r="C76" s="52">
        <v>282</v>
      </c>
      <c r="D76" s="52">
        <v>353</v>
      </c>
      <c r="E76" s="52">
        <v>413</v>
      </c>
      <c r="F76" s="61"/>
    </row>
    <row r="77" spans="1:8" ht="14.4" x14ac:dyDescent="0.25">
      <c r="A77" s="53" t="s">
        <v>231</v>
      </c>
      <c r="B77" s="52">
        <v>237</v>
      </c>
      <c r="C77" s="52">
        <v>282</v>
      </c>
      <c r="D77" s="52">
        <v>353</v>
      </c>
      <c r="E77" s="52">
        <v>413</v>
      </c>
      <c r="F77" s="61"/>
    </row>
    <row r="78" spans="1:8" ht="14.4" x14ac:dyDescent="0.25">
      <c r="A78" s="53" t="s">
        <v>232</v>
      </c>
      <c r="B78" s="52">
        <v>901</v>
      </c>
      <c r="C78" s="52">
        <v>886</v>
      </c>
      <c r="D78" s="52">
        <v>937</v>
      </c>
      <c r="E78" s="52">
        <v>967</v>
      </c>
      <c r="F78" s="61"/>
    </row>
    <row r="79" spans="1:8" ht="14.4" x14ac:dyDescent="0.25">
      <c r="A79" s="53" t="s">
        <v>233</v>
      </c>
      <c r="B79" s="52">
        <v>632</v>
      </c>
      <c r="C79" s="52">
        <v>633</v>
      </c>
      <c r="D79" s="52">
        <v>580</v>
      </c>
      <c r="E79" s="52">
        <v>924</v>
      </c>
      <c r="F79" s="59"/>
    </row>
    <row r="80" spans="1:8" ht="14.4" x14ac:dyDescent="0.25">
      <c r="A80" s="53" t="s">
        <v>234</v>
      </c>
      <c r="B80" s="52">
        <v>1212</v>
      </c>
      <c r="C80" s="52">
        <v>1024</v>
      </c>
      <c r="D80" s="52">
        <v>1084</v>
      </c>
      <c r="E80" s="52">
        <v>981</v>
      </c>
      <c r="F80" s="59"/>
    </row>
    <row r="81" spans="1:6" ht="14.4" x14ac:dyDescent="0.25">
      <c r="A81" s="53" t="s">
        <v>235</v>
      </c>
      <c r="B81" s="52">
        <v>16.928999999999998</v>
      </c>
      <c r="C81" s="52">
        <v>12.927</v>
      </c>
      <c r="D81" s="52">
        <v>15.315</v>
      </c>
      <c r="E81" s="52">
        <v>8.1460000000000008</v>
      </c>
      <c r="F81" s="59"/>
    </row>
    <row r="82" spans="1:6" ht="14.4" x14ac:dyDescent="0.25">
      <c r="A82" s="53" t="s">
        <v>236</v>
      </c>
      <c r="B82" s="52">
        <v>1195.0709999999999</v>
      </c>
      <c r="C82" s="52">
        <v>1011.073</v>
      </c>
      <c r="D82" s="52">
        <v>1068.6849999999999</v>
      </c>
      <c r="E82" s="52">
        <v>972.85400000000004</v>
      </c>
      <c r="F82" s="61"/>
    </row>
    <row r="83" spans="1:6" x14ac:dyDescent="0.25">
      <c r="A83" s="53" t="s">
        <v>237</v>
      </c>
      <c r="B83" s="54" t="s">
        <v>238</v>
      </c>
      <c r="C83" s="54" t="s">
        <v>238</v>
      </c>
      <c r="D83" s="54" t="s">
        <v>238</v>
      </c>
      <c r="E83" s="54" t="s">
        <v>238</v>
      </c>
    </row>
    <row r="84" spans="1:6" x14ac:dyDescent="0.25">
      <c r="A84" s="53" t="s">
        <v>239</v>
      </c>
      <c r="B84" s="54" t="s">
        <v>240</v>
      </c>
      <c r="C84" s="54" t="s">
        <v>240</v>
      </c>
      <c r="D84" s="54" t="s">
        <v>240</v>
      </c>
      <c r="E84" s="54" t="s">
        <v>240</v>
      </c>
    </row>
    <row r="85" spans="1:6" x14ac:dyDescent="0.25">
      <c r="A85" s="55" t="s">
        <v>241</v>
      </c>
      <c r="B85" s="54"/>
      <c r="C85" s="54"/>
      <c r="D85" s="54"/>
      <c r="E85" s="54"/>
    </row>
    <row r="86" spans="1:6" x14ac:dyDescent="0.25">
      <c r="A86" s="53" t="s">
        <v>242</v>
      </c>
      <c r="B86" s="52">
        <v>360000</v>
      </c>
      <c r="C86" s="52">
        <v>360000</v>
      </c>
      <c r="D86" s="52">
        <v>240400</v>
      </c>
      <c r="E86" s="52">
        <v>425200</v>
      </c>
    </row>
    <row r="87" spans="1:6" x14ac:dyDescent="0.25">
      <c r="A87" s="53" t="s">
        <v>243</v>
      </c>
      <c r="B87" s="54" t="s">
        <v>244</v>
      </c>
      <c r="C87" s="54" t="s">
        <v>244</v>
      </c>
      <c r="D87" s="52">
        <v>274000</v>
      </c>
      <c r="E87" s="52">
        <v>262000</v>
      </c>
    </row>
    <row r="88" spans="1:6" x14ac:dyDescent="0.25">
      <c r="A88" s="53" t="s">
        <v>245</v>
      </c>
      <c r="B88" s="54" t="s">
        <v>244</v>
      </c>
      <c r="C88" s="52">
        <v>119600</v>
      </c>
      <c r="D88" s="52">
        <v>89200</v>
      </c>
      <c r="E88" s="52">
        <v>78200</v>
      </c>
    </row>
    <row r="89" spans="1:6" x14ac:dyDescent="0.25">
      <c r="A89" s="53" t="s">
        <v>246</v>
      </c>
      <c r="B89" s="52">
        <v>360000</v>
      </c>
      <c r="C89" s="52">
        <v>240400</v>
      </c>
      <c r="D89" s="52">
        <v>425200</v>
      </c>
      <c r="E89" s="52">
        <v>609000</v>
      </c>
    </row>
    <row r="90" spans="1:6" x14ac:dyDescent="0.25">
      <c r="A90" s="53" t="s">
        <v>247</v>
      </c>
      <c r="B90" s="56">
        <v>2242.5</v>
      </c>
      <c r="C90" s="56">
        <v>2242.5</v>
      </c>
      <c r="D90" s="56">
        <v>3030.2820000000002</v>
      </c>
      <c r="E90" s="56">
        <v>3614.0770000000002</v>
      </c>
    </row>
    <row r="91" spans="1:6" x14ac:dyDescent="0.25">
      <c r="A91" s="53" t="s">
        <v>248</v>
      </c>
      <c r="B91" s="54" t="s">
        <v>244</v>
      </c>
      <c r="C91" s="54" t="s">
        <v>244</v>
      </c>
      <c r="D91" s="56">
        <v>3465</v>
      </c>
      <c r="E91" s="56">
        <v>4152</v>
      </c>
    </row>
    <row r="92" spans="1:6" x14ac:dyDescent="0.25">
      <c r="A92" s="55" t="s">
        <v>249</v>
      </c>
      <c r="B92" s="54"/>
      <c r="C92" s="54"/>
      <c r="D92" s="54"/>
      <c r="E92" s="54"/>
    </row>
    <row r="93" spans="1:6" x14ac:dyDescent="0.25">
      <c r="A93" s="53" t="s">
        <v>250</v>
      </c>
      <c r="B93" s="52">
        <v>360000</v>
      </c>
      <c r="C93" s="52">
        <v>360000</v>
      </c>
      <c r="D93" s="52">
        <v>240400</v>
      </c>
      <c r="E93" s="52">
        <v>425200</v>
      </c>
    </row>
    <row r="94" spans="1:6" x14ac:dyDescent="0.25">
      <c r="A94" s="53" t="s">
        <v>251</v>
      </c>
      <c r="B94" s="54" t="s">
        <v>244</v>
      </c>
      <c r="C94" s="54" t="s">
        <v>244</v>
      </c>
      <c r="D94" s="52">
        <v>274000</v>
      </c>
      <c r="E94" s="52">
        <v>262000</v>
      </c>
    </row>
    <row r="95" spans="1:6" x14ac:dyDescent="0.25">
      <c r="A95" s="53" t="s">
        <v>252</v>
      </c>
      <c r="B95" s="54" t="s">
        <v>244</v>
      </c>
      <c r="C95" s="52">
        <v>119600</v>
      </c>
      <c r="D95" s="52">
        <v>89200</v>
      </c>
      <c r="E95" s="52">
        <v>78200</v>
      </c>
    </row>
    <row r="96" spans="1:6" x14ac:dyDescent="0.25">
      <c r="A96" s="53" t="s">
        <v>253</v>
      </c>
      <c r="B96" s="52">
        <v>360000</v>
      </c>
      <c r="C96" s="52">
        <v>240400</v>
      </c>
      <c r="D96" s="52">
        <v>425200</v>
      </c>
      <c r="E96" s="52">
        <v>609000</v>
      </c>
    </row>
    <row r="97" spans="1:5" x14ac:dyDescent="0.25">
      <c r="A97" s="55" t="s">
        <v>254</v>
      </c>
      <c r="B97" s="54"/>
      <c r="C97" s="54"/>
      <c r="D97" s="54"/>
      <c r="E97" s="54"/>
    </row>
    <row r="98" spans="1:5" x14ac:dyDescent="0.25">
      <c r="A98" s="53" t="s">
        <v>255</v>
      </c>
      <c r="B98" s="52">
        <v>331</v>
      </c>
      <c r="C98" s="52">
        <v>113</v>
      </c>
      <c r="D98" s="52">
        <v>80</v>
      </c>
      <c r="E98" s="52">
        <v>176</v>
      </c>
    </row>
    <row r="99" spans="1:5" x14ac:dyDescent="0.25">
      <c r="A99" s="51"/>
    </row>
  </sheetData>
  <mergeCells count="3">
    <mergeCell ref="A1:D1"/>
    <mergeCell ref="A12:E12"/>
    <mergeCell ref="A2:L2"/>
  </mergeCells>
  <pageMargins left="0.75" right="0.75" top="1" bottom="1" header="0.5" footer="0.5"/>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20063-C0A3-474F-9407-AC239B7D4767}">
  <dimension ref="A1:N67"/>
  <sheetViews>
    <sheetView zoomScaleNormal="100" workbookViewId="0">
      <selection sqref="A1:D1"/>
    </sheetView>
  </sheetViews>
  <sheetFormatPr defaultColWidth="8.88671875" defaultRowHeight="13.2" x14ac:dyDescent="0.25"/>
  <cols>
    <col min="1" max="1" width="48.5546875" style="50" customWidth="1"/>
    <col min="2" max="6" width="17.5546875" style="50" customWidth="1"/>
    <col min="7" max="16384" width="8.88671875" style="50"/>
  </cols>
  <sheetData>
    <row r="1" spans="1:12" ht="40.200000000000003" customHeight="1" x14ac:dyDescent="0.3">
      <c r="A1" s="515"/>
      <c r="B1" s="516"/>
      <c r="C1" s="516"/>
      <c r="D1" s="516"/>
    </row>
    <row r="2" spans="1:12" ht="30" customHeight="1" x14ac:dyDescent="0.3">
      <c r="A2" s="518" t="s">
        <v>503</v>
      </c>
      <c r="B2" s="519"/>
      <c r="C2" s="519"/>
      <c r="D2" s="519"/>
      <c r="E2" s="519"/>
      <c r="F2" s="519"/>
      <c r="G2" s="519"/>
      <c r="H2" s="519"/>
      <c r="I2" s="519"/>
      <c r="J2" s="519"/>
      <c r="K2" s="519"/>
      <c r="L2" s="519"/>
    </row>
    <row r="3" spans="1:12" x14ac:dyDescent="0.25">
      <c r="A3" s="53" t="s">
        <v>491</v>
      </c>
    </row>
    <row r="5" spans="1:12" x14ac:dyDescent="0.25">
      <c r="A5" s="53" t="s">
        <v>492</v>
      </c>
      <c r="B5" s="51"/>
    </row>
    <row r="6" spans="1:12" x14ac:dyDescent="0.25">
      <c r="A6" s="53" t="s">
        <v>493</v>
      </c>
      <c r="B6" s="51"/>
    </row>
    <row r="7" spans="1:12" x14ac:dyDescent="0.25">
      <c r="A7" s="53" t="s">
        <v>494</v>
      </c>
      <c r="B7" s="51"/>
    </row>
    <row r="8" spans="1:12" x14ac:dyDescent="0.25">
      <c r="A8" s="53" t="s">
        <v>495</v>
      </c>
      <c r="B8" s="51"/>
    </row>
    <row r="9" spans="1:12" x14ac:dyDescent="0.25">
      <c r="A9" s="53" t="s">
        <v>496</v>
      </c>
      <c r="B9" s="51"/>
    </row>
    <row r="10" spans="1:12" x14ac:dyDescent="0.25">
      <c r="A10" s="53" t="s">
        <v>498</v>
      </c>
      <c r="B10" s="51"/>
    </row>
    <row r="11" spans="1:12" x14ac:dyDescent="0.25">
      <c r="A11" s="53" t="s">
        <v>499</v>
      </c>
      <c r="B11" s="51"/>
    </row>
    <row r="12" spans="1:12" ht="15" thickBot="1" x14ac:dyDescent="0.35">
      <c r="A12" s="517"/>
      <c r="B12" s="516"/>
      <c r="C12" s="516"/>
      <c r="D12" s="516"/>
      <c r="E12" s="516"/>
    </row>
    <row r="13" spans="1:12" ht="14.4" x14ac:dyDescent="0.25">
      <c r="A13" s="49" t="s">
        <v>160</v>
      </c>
      <c r="B13" s="48" t="s">
        <v>161</v>
      </c>
      <c r="C13" s="48" t="s">
        <v>162</v>
      </c>
      <c r="D13" s="48" t="s">
        <v>163</v>
      </c>
      <c r="E13" s="48" t="s">
        <v>164</v>
      </c>
      <c r="F13" s="166" t="s">
        <v>165</v>
      </c>
    </row>
    <row r="14" spans="1:12" ht="14.4" x14ac:dyDescent="0.25">
      <c r="A14" s="53" t="s">
        <v>3</v>
      </c>
      <c r="B14" s="54" t="s">
        <v>166</v>
      </c>
      <c r="C14" s="54" t="s">
        <v>166</v>
      </c>
      <c r="D14" s="54" t="s">
        <v>166</v>
      </c>
      <c r="E14" s="54" t="s">
        <v>166</v>
      </c>
      <c r="F14" s="59" t="s">
        <v>166</v>
      </c>
    </row>
    <row r="15" spans="1:12" ht="14.4" x14ac:dyDescent="0.25">
      <c r="A15" s="53" t="s">
        <v>167</v>
      </c>
      <c r="B15" s="57">
        <v>44196</v>
      </c>
      <c r="C15" s="57">
        <v>44561</v>
      </c>
      <c r="D15" s="57">
        <v>44926</v>
      </c>
      <c r="E15" s="57">
        <v>45291</v>
      </c>
      <c r="F15" s="60">
        <v>45565</v>
      </c>
    </row>
    <row r="16" spans="1:12" ht="14.4" x14ac:dyDescent="0.25">
      <c r="A16" s="53" t="s">
        <v>168</v>
      </c>
      <c r="B16" s="57">
        <v>44270</v>
      </c>
      <c r="C16" s="57">
        <v>44634</v>
      </c>
      <c r="D16" s="57">
        <v>45005</v>
      </c>
      <c r="E16" s="57">
        <v>45378</v>
      </c>
      <c r="F16" s="60">
        <v>45603</v>
      </c>
    </row>
    <row r="17" spans="1:14" ht="14.4" x14ac:dyDescent="0.25">
      <c r="A17" s="53" t="s">
        <v>171</v>
      </c>
      <c r="B17" s="54" t="s">
        <v>172</v>
      </c>
      <c r="C17" s="54" t="s">
        <v>172</v>
      </c>
      <c r="D17" s="54" t="s">
        <v>172</v>
      </c>
      <c r="E17" s="54" t="s">
        <v>172</v>
      </c>
      <c r="F17" s="59" t="s">
        <v>172</v>
      </c>
    </row>
    <row r="18" spans="1:14" ht="14.4" x14ac:dyDescent="0.25">
      <c r="A18" s="53" t="s">
        <v>3</v>
      </c>
      <c r="B18" s="54"/>
      <c r="C18" s="54"/>
      <c r="D18" s="54"/>
      <c r="E18" s="54"/>
      <c r="F18" s="59"/>
    </row>
    <row r="19" spans="1:14" ht="14.4" x14ac:dyDescent="0.25">
      <c r="A19" s="55" t="s">
        <v>256</v>
      </c>
      <c r="B19" s="54"/>
      <c r="C19" s="54"/>
      <c r="D19" s="54"/>
      <c r="E19" s="54"/>
      <c r="F19" s="59"/>
    </row>
    <row r="20" spans="1:14" ht="14.4" x14ac:dyDescent="0.25">
      <c r="A20" s="53" t="s">
        <v>257</v>
      </c>
      <c r="B20" s="52">
        <v>15647</v>
      </c>
      <c r="C20" s="52">
        <v>17666</v>
      </c>
      <c r="D20" s="52">
        <v>18284</v>
      </c>
      <c r="E20" s="52">
        <v>20439</v>
      </c>
      <c r="F20" s="61">
        <v>28520</v>
      </c>
    </row>
    <row r="21" spans="1:14" ht="14.4" x14ac:dyDescent="0.25">
      <c r="A21" s="53" t="s">
        <v>184</v>
      </c>
      <c r="B21" s="52">
        <v>5943</v>
      </c>
      <c r="C21" s="52">
        <v>5481</v>
      </c>
      <c r="D21" s="52">
        <v>4072</v>
      </c>
      <c r="E21" s="52">
        <v>4121</v>
      </c>
      <c r="F21" s="61">
        <v>4735</v>
      </c>
    </row>
    <row r="22" spans="1:14" ht="14.4" x14ac:dyDescent="0.25">
      <c r="A22" s="53" t="s">
        <v>186</v>
      </c>
      <c r="B22" s="52">
        <v>59</v>
      </c>
      <c r="C22" s="52">
        <v>59</v>
      </c>
      <c r="D22" s="52">
        <v>61</v>
      </c>
      <c r="E22" s="52">
        <v>63</v>
      </c>
      <c r="F22" s="61">
        <v>63</v>
      </c>
    </row>
    <row r="23" spans="1:14" ht="14.4" x14ac:dyDescent="0.25">
      <c r="A23" s="53" t="s">
        <v>260</v>
      </c>
      <c r="B23" s="52">
        <v>6002</v>
      </c>
      <c r="C23" s="52">
        <v>5540</v>
      </c>
      <c r="D23" s="52">
        <v>4133</v>
      </c>
      <c r="E23" s="52">
        <v>4184</v>
      </c>
      <c r="F23" s="61">
        <v>4798</v>
      </c>
    </row>
    <row r="24" spans="1:14" ht="14.4" x14ac:dyDescent="0.3">
      <c r="A24" s="53" t="s">
        <v>262</v>
      </c>
      <c r="B24" s="52">
        <v>81</v>
      </c>
      <c r="C24" s="52">
        <v>634</v>
      </c>
      <c r="D24" s="52">
        <v>620</v>
      </c>
      <c r="E24" s="52">
        <v>-345</v>
      </c>
      <c r="F24" s="61">
        <v>-8400</v>
      </c>
      <c r="H24"/>
      <c r="I24"/>
      <c r="J24"/>
      <c r="K24"/>
      <c r="L24"/>
      <c r="M24"/>
      <c r="N24"/>
    </row>
    <row r="25" spans="1:14" ht="14.4" x14ac:dyDescent="0.3">
      <c r="A25" s="53" t="s">
        <v>263</v>
      </c>
      <c r="B25" s="52">
        <v>-36</v>
      </c>
      <c r="C25" s="52">
        <v>-527</v>
      </c>
      <c r="D25" s="54" t="s">
        <v>244</v>
      </c>
      <c r="E25" s="52">
        <v>-489</v>
      </c>
      <c r="F25" s="61">
        <v>-473</v>
      </c>
      <c r="H25"/>
      <c r="I25"/>
      <c r="J25"/>
      <c r="K25"/>
      <c r="L25"/>
      <c r="M25"/>
      <c r="N25"/>
    </row>
    <row r="26" spans="1:14" ht="14.4" x14ac:dyDescent="0.3">
      <c r="A26" s="53" t="s">
        <v>264</v>
      </c>
      <c r="B26" s="52">
        <v>-292</v>
      </c>
      <c r="C26" s="52">
        <v>-176</v>
      </c>
      <c r="D26" s="52">
        <v>-35</v>
      </c>
      <c r="E26" s="52">
        <v>126</v>
      </c>
      <c r="F26" s="61">
        <v>-58</v>
      </c>
      <c r="H26"/>
      <c r="I26"/>
      <c r="J26"/>
      <c r="K26"/>
      <c r="L26"/>
      <c r="M26"/>
      <c r="N26"/>
    </row>
    <row r="27" spans="1:14" ht="14.4" x14ac:dyDescent="0.3">
      <c r="A27" s="53" t="s">
        <v>265</v>
      </c>
      <c r="B27" s="52">
        <v>-4794</v>
      </c>
      <c r="C27" s="52">
        <v>-4888</v>
      </c>
      <c r="D27" s="52">
        <v>-7328</v>
      </c>
      <c r="E27" s="52">
        <v>-5335</v>
      </c>
      <c r="F27" s="61">
        <v>-9841</v>
      </c>
      <c r="H27"/>
      <c r="I27"/>
      <c r="J27"/>
      <c r="K27"/>
      <c r="L27"/>
      <c r="M27"/>
      <c r="N27"/>
    </row>
    <row r="28" spans="1:14" ht="14.4" x14ac:dyDescent="0.3">
      <c r="A28" s="53" t="s">
        <v>266</v>
      </c>
      <c r="B28" s="52">
        <v>-452</v>
      </c>
      <c r="C28" s="52">
        <v>-5251</v>
      </c>
      <c r="D28" s="52">
        <v>264</v>
      </c>
      <c r="E28" s="52">
        <v>-5640</v>
      </c>
      <c r="F28" s="61">
        <v>-3056</v>
      </c>
      <c r="H28"/>
      <c r="I28"/>
      <c r="J28"/>
      <c r="K28"/>
      <c r="L28"/>
      <c r="M28"/>
      <c r="N28"/>
    </row>
    <row r="29" spans="1:14" ht="14.4" x14ac:dyDescent="0.3">
      <c r="A29" s="53" t="s">
        <v>267</v>
      </c>
      <c r="B29" s="52">
        <v>364</v>
      </c>
      <c r="C29" s="52">
        <v>1002</v>
      </c>
      <c r="D29" s="52">
        <v>-1096</v>
      </c>
      <c r="E29" s="52">
        <v>-365</v>
      </c>
      <c r="F29" s="61">
        <v>1155</v>
      </c>
      <c r="H29"/>
      <c r="I29"/>
      <c r="J29"/>
      <c r="K29"/>
      <c r="L29"/>
      <c r="M29"/>
      <c r="N29"/>
    </row>
    <row r="30" spans="1:14" ht="14.4" x14ac:dyDescent="0.3">
      <c r="A30" s="53" t="s">
        <v>268</v>
      </c>
      <c r="B30" s="52">
        <v>65</v>
      </c>
      <c r="C30" s="52">
        <v>2712</v>
      </c>
      <c r="D30" s="52">
        <v>1997</v>
      </c>
      <c r="E30" s="52">
        <v>5911</v>
      </c>
      <c r="F30" s="61">
        <v>-1044</v>
      </c>
      <c r="H30"/>
      <c r="I30"/>
      <c r="J30"/>
      <c r="K30"/>
      <c r="L30"/>
      <c r="M30"/>
      <c r="N30"/>
    </row>
    <row r="31" spans="1:14" ht="14.4" x14ac:dyDescent="0.3">
      <c r="A31" s="53" t="s">
        <v>269</v>
      </c>
      <c r="B31" s="52">
        <v>-1798</v>
      </c>
      <c r="C31" s="52">
        <v>-805</v>
      </c>
      <c r="D31" s="52">
        <v>-3320</v>
      </c>
      <c r="E31" s="52">
        <v>-2335</v>
      </c>
      <c r="F31" s="61">
        <v>2966</v>
      </c>
      <c r="H31"/>
      <c r="I31"/>
      <c r="J31"/>
      <c r="K31"/>
      <c r="L31"/>
      <c r="M31"/>
      <c r="N31"/>
    </row>
    <row r="32" spans="1:14" ht="14.4" x14ac:dyDescent="0.3">
      <c r="A32" s="53" t="s">
        <v>270</v>
      </c>
      <c r="B32" s="52">
        <v>14787</v>
      </c>
      <c r="C32" s="52">
        <v>15907</v>
      </c>
      <c r="D32" s="52">
        <v>13519</v>
      </c>
      <c r="E32" s="52">
        <v>16151</v>
      </c>
      <c r="F32" s="61">
        <v>14567</v>
      </c>
      <c r="H32"/>
      <c r="I32"/>
      <c r="J32"/>
      <c r="K32"/>
      <c r="L32"/>
      <c r="M32"/>
      <c r="N32"/>
    </row>
    <row r="33" spans="1:14" ht="14.4" x14ac:dyDescent="0.3">
      <c r="A33" s="55" t="s">
        <v>271</v>
      </c>
      <c r="B33" s="54"/>
      <c r="C33" s="54"/>
      <c r="D33" s="54"/>
      <c r="E33" s="54"/>
      <c r="F33" s="59"/>
      <c r="H33"/>
      <c r="I33"/>
      <c r="J33"/>
      <c r="K33"/>
      <c r="L33"/>
      <c r="M33"/>
      <c r="N33"/>
    </row>
    <row r="34" spans="1:14" ht="14.4" x14ac:dyDescent="0.3">
      <c r="A34" s="53" t="s">
        <v>272</v>
      </c>
      <c r="B34" s="52">
        <v>-6218</v>
      </c>
      <c r="C34" s="52">
        <v>-3531</v>
      </c>
      <c r="D34" s="52">
        <v>-9274</v>
      </c>
      <c r="E34" s="52">
        <v>-8622</v>
      </c>
      <c r="F34" s="61">
        <v>-11756</v>
      </c>
      <c r="H34"/>
      <c r="I34"/>
      <c r="J34"/>
      <c r="K34"/>
      <c r="L34"/>
      <c r="M34"/>
      <c r="N34"/>
    </row>
    <row r="35" spans="1:14" ht="14.4" x14ac:dyDescent="0.25">
      <c r="A35" s="53" t="s">
        <v>273</v>
      </c>
      <c r="B35" s="54" t="s">
        <v>244</v>
      </c>
      <c r="C35" s="54" t="s">
        <v>244</v>
      </c>
      <c r="D35" s="54" t="s">
        <v>244</v>
      </c>
      <c r="E35" s="52">
        <v>967</v>
      </c>
      <c r="F35" s="61">
        <v>13942</v>
      </c>
    </row>
    <row r="36" spans="1:14" x14ac:dyDescent="0.25">
      <c r="A36" s="53" t="s">
        <v>274</v>
      </c>
      <c r="B36" s="52">
        <v>-210</v>
      </c>
      <c r="C36" s="54" t="s">
        <v>244</v>
      </c>
      <c r="D36" s="52">
        <v>144</v>
      </c>
      <c r="E36" s="54" t="s">
        <v>244</v>
      </c>
    </row>
    <row r="37" spans="1:14" ht="14.4" x14ac:dyDescent="0.25">
      <c r="A37" s="53" t="s">
        <v>275</v>
      </c>
      <c r="B37" s="54" t="s">
        <v>244</v>
      </c>
      <c r="C37" s="52">
        <v>4330</v>
      </c>
      <c r="D37" s="54" t="s">
        <v>244</v>
      </c>
      <c r="E37" s="54" t="s">
        <v>244</v>
      </c>
      <c r="F37" s="61">
        <v>-10</v>
      </c>
    </row>
    <row r="38" spans="1:14" ht="14.4" x14ac:dyDescent="0.25">
      <c r="A38" s="53" t="s">
        <v>276</v>
      </c>
      <c r="B38" s="52">
        <v>-3963</v>
      </c>
      <c r="C38" s="52">
        <v>-3204</v>
      </c>
      <c r="D38" s="52">
        <v>-3010</v>
      </c>
      <c r="E38" s="52">
        <v>-2498</v>
      </c>
      <c r="F38" s="61">
        <v>-3071</v>
      </c>
    </row>
    <row r="39" spans="1:14" ht="14.4" x14ac:dyDescent="0.25">
      <c r="A39" s="53" t="s">
        <v>277</v>
      </c>
      <c r="B39" s="52">
        <v>-5592</v>
      </c>
      <c r="C39" s="52">
        <v>6843</v>
      </c>
      <c r="D39" s="52">
        <v>-3494</v>
      </c>
      <c r="E39" s="52">
        <v>716</v>
      </c>
      <c r="F39" s="61">
        <v>6304</v>
      </c>
    </row>
    <row r="40" spans="1:14" ht="14.4" x14ac:dyDescent="0.25">
      <c r="A40" s="53" t="s">
        <v>278</v>
      </c>
      <c r="B40" s="52">
        <v>-126</v>
      </c>
      <c r="C40" s="52">
        <v>456</v>
      </c>
      <c r="D40" s="52">
        <v>112</v>
      </c>
      <c r="E40" s="52">
        <v>228</v>
      </c>
      <c r="F40" s="61">
        <v>-831</v>
      </c>
    </row>
    <row r="41" spans="1:14" ht="14.4" x14ac:dyDescent="0.25">
      <c r="A41" s="53" t="s">
        <v>279</v>
      </c>
      <c r="B41" s="52">
        <v>-16109</v>
      </c>
      <c r="C41" s="52">
        <v>4894</v>
      </c>
      <c r="D41" s="52">
        <v>-15522</v>
      </c>
      <c r="E41" s="52">
        <v>-9209</v>
      </c>
      <c r="F41" s="61">
        <v>4578</v>
      </c>
      <c r="H41" s="63"/>
    </row>
    <row r="42" spans="1:14" ht="14.4" x14ac:dyDescent="0.25">
      <c r="A42" s="55" t="s">
        <v>280</v>
      </c>
      <c r="B42" s="54"/>
      <c r="C42" s="54"/>
      <c r="D42" s="54"/>
      <c r="E42" s="54"/>
      <c r="F42" s="61">
        <v>64077</v>
      </c>
    </row>
    <row r="43" spans="1:14" ht="14.4" x14ac:dyDescent="0.25">
      <c r="A43" s="53" t="s">
        <v>281</v>
      </c>
      <c r="B43" s="52">
        <v>23641</v>
      </c>
      <c r="C43" s="52">
        <v>6765</v>
      </c>
      <c r="D43" s="52">
        <v>13000</v>
      </c>
      <c r="E43" s="52">
        <v>54359</v>
      </c>
      <c r="F43" s="61">
        <v>-38082</v>
      </c>
    </row>
    <row r="44" spans="1:14" ht="14.4" x14ac:dyDescent="0.25">
      <c r="A44" s="53" t="s">
        <v>282</v>
      </c>
      <c r="B44" s="52">
        <v>1428</v>
      </c>
      <c r="C44" s="52">
        <v>3580</v>
      </c>
      <c r="D44" s="52">
        <v>5000</v>
      </c>
      <c r="E44" s="54" t="s">
        <v>244</v>
      </c>
      <c r="F44" s="61">
        <v>309</v>
      </c>
    </row>
    <row r="45" spans="1:14" ht="14.4" x14ac:dyDescent="0.25">
      <c r="A45" s="53" t="s">
        <v>283</v>
      </c>
      <c r="B45" s="52">
        <v>25069</v>
      </c>
      <c r="C45" s="52">
        <v>10345</v>
      </c>
      <c r="D45" s="52">
        <v>18000</v>
      </c>
      <c r="E45" s="52">
        <v>54359</v>
      </c>
      <c r="F45" s="61">
        <v>-4</v>
      </c>
    </row>
    <row r="46" spans="1:14" ht="14.4" x14ac:dyDescent="0.25">
      <c r="A46" s="53" t="s">
        <v>284</v>
      </c>
      <c r="B46" s="52">
        <v>-9109</v>
      </c>
      <c r="C46" s="52">
        <v>-22752</v>
      </c>
      <c r="D46" s="52">
        <v>-5599</v>
      </c>
      <c r="E46" s="52">
        <v>-15259</v>
      </c>
      <c r="F46" s="61">
        <v>-4813</v>
      </c>
    </row>
    <row r="47" spans="1:14" ht="14.4" x14ac:dyDescent="0.25">
      <c r="A47" s="53" t="s">
        <v>285</v>
      </c>
      <c r="B47" s="52">
        <v>-1081</v>
      </c>
      <c r="C47" s="52">
        <v>-3444</v>
      </c>
      <c r="D47" s="52">
        <v>-14765</v>
      </c>
      <c r="E47" s="52">
        <v>-5714</v>
      </c>
      <c r="F47" s="61">
        <v>-4813</v>
      </c>
    </row>
    <row r="48" spans="1:14" ht="14.4" x14ac:dyDescent="0.25">
      <c r="A48" s="53" t="s">
        <v>286</v>
      </c>
      <c r="B48" s="52">
        <v>-10190</v>
      </c>
      <c r="C48" s="52">
        <v>-26196</v>
      </c>
      <c r="D48" s="52">
        <v>-20364</v>
      </c>
      <c r="E48" s="52">
        <v>-20973</v>
      </c>
      <c r="F48" s="61">
        <v>-39651</v>
      </c>
    </row>
    <row r="49" spans="1:6" ht="14.4" x14ac:dyDescent="0.25">
      <c r="A49" s="53" t="s">
        <v>287</v>
      </c>
      <c r="B49" s="54" t="s">
        <v>244</v>
      </c>
      <c r="C49" s="52">
        <v>-1</v>
      </c>
      <c r="D49" s="52">
        <v>-1</v>
      </c>
      <c r="E49" s="52">
        <v>-4</v>
      </c>
      <c r="F49" s="61">
        <v>-18164</v>
      </c>
    </row>
    <row r="50" spans="1:6" ht="14.4" x14ac:dyDescent="0.25">
      <c r="A50" s="53" t="s">
        <v>288</v>
      </c>
      <c r="B50" s="52">
        <v>-1563</v>
      </c>
      <c r="C50" s="52">
        <v>-1535</v>
      </c>
      <c r="D50" s="52">
        <v>-2508</v>
      </c>
      <c r="E50" s="52">
        <v>-4427</v>
      </c>
      <c r="F50" s="59"/>
    </row>
    <row r="51" spans="1:6" ht="14.4" x14ac:dyDescent="0.25">
      <c r="A51" s="53" t="s">
        <v>289</v>
      </c>
      <c r="B51" s="52">
        <v>-1563</v>
      </c>
      <c r="C51" s="52">
        <v>-1535</v>
      </c>
      <c r="D51" s="52">
        <v>-2508</v>
      </c>
      <c r="E51" s="52">
        <v>-4427</v>
      </c>
      <c r="F51" s="61">
        <v>-84</v>
      </c>
    </row>
    <row r="52" spans="1:6" ht="14.4" x14ac:dyDescent="0.25">
      <c r="A52" s="53" t="s">
        <v>290</v>
      </c>
      <c r="B52" s="52">
        <v>-613</v>
      </c>
      <c r="C52" s="52">
        <v>-484</v>
      </c>
      <c r="D52" s="52">
        <v>-1038</v>
      </c>
      <c r="E52" s="52">
        <v>-34402</v>
      </c>
      <c r="F52" s="61">
        <v>0</v>
      </c>
    </row>
    <row r="53" spans="1:6" ht="14.4" x14ac:dyDescent="0.25">
      <c r="A53" s="53" t="s">
        <v>291</v>
      </c>
      <c r="B53" s="52">
        <v>12703</v>
      </c>
      <c r="C53" s="52">
        <v>-17871</v>
      </c>
      <c r="D53" s="52">
        <v>-5911</v>
      </c>
      <c r="E53" s="52">
        <v>-5447</v>
      </c>
      <c r="F53" s="61">
        <v>897</v>
      </c>
    </row>
    <row r="54" spans="1:6" ht="14.4" x14ac:dyDescent="0.25">
      <c r="A54" s="55" t="s">
        <v>292</v>
      </c>
      <c r="B54" s="54"/>
      <c r="C54" s="54"/>
      <c r="D54" s="54"/>
      <c r="E54" s="54"/>
      <c r="F54" s="59"/>
    </row>
    <row r="55" spans="1:6" ht="14.4" x14ac:dyDescent="0.25">
      <c r="A55" s="53" t="s">
        <v>293</v>
      </c>
      <c r="B55" s="52">
        <v>-89</v>
      </c>
      <c r="C55" s="52">
        <v>496</v>
      </c>
      <c r="D55" s="52">
        <v>123</v>
      </c>
      <c r="E55" s="52">
        <v>204</v>
      </c>
      <c r="F55" s="61">
        <v>159</v>
      </c>
    </row>
    <row r="56" spans="1:6" ht="14.4" x14ac:dyDescent="0.25">
      <c r="A56" s="53" t="s">
        <v>294</v>
      </c>
      <c r="B56" s="52">
        <v>-1</v>
      </c>
      <c r="C56" s="52">
        <v>-1</v>
      </c>
      <c r="D56" s="52">
        <v>2</v>
      </c>
      <c r="E56" s="52">
        <v>-1</v>
      </c>
      <c r="F56" s="61">
        <v>8649</v>
      </c>
    </row>
    <row r="57" spans="1:6" ht="14.4" x14ac:dyDescent="0.25">
      <c r="A57" s="53" t="s">
        <v>295</v>
      </c>
      <c r="B57" s="52">
        <v>11291</v>
      </c>
      <c r="C57" s="52">
        <v>3425</v>
      </c>
      <c r="D57" s="52">
        <v>-7789</v>
      </c>
      <c r="E57" s="52">
        <v>1698</v>
      </c>
      <c r="F57" s="61">
        <v>1396</v>
      </c>
    </row>
    <row r="58" spans="1:6" ht="14.4" x14ac:dyDescent="0.25">
      <c r="A58" s="55" t="s">
        <v>222</v>
      </c>
      <c r="B58" s="54"/>
      <c r="C58" s="54"/>
      <c r="D58" s="54"/>
      <c r="E58" s="54"/>
      <c r="F58" s="61">
        <v>1487.25</v>
      </c>
    </row>
    <row r="59" spans="1:6" ht="14.4" x14ac:dyDescent="0.25">
      <c r="A59" s="53" t="s">
        <v>296</v>
      </c>
      <c r="B59" s="52">
        <v>67</v>
      </c>
      <c r="C59" s="52">
        <v>59</v>
      </c>
      <c r="D59" s="52">
        <v>49</v>
      </c>
      <c r="E59" s="52">
        <v>54</v>
      </c>
      <c r="F59" s="61">
        <v>2235000</v>
      </c>
    </row>
    <row r="60" spans="1:6" ht="14.4" x14ac:dyDescent="0.25">
      <c r="A60" s="53" t="s">
        <v>297</v>
      </c>
      <c r="B60" s="52">
        <v>5386</v>
      </c>
      <c r="C60" s="52">
        <v>4987</v>
      </c>
      <c r="D60" s="52">
        <v>7527</v>
      </c>
      <c r="E60" s="52">
        <v>4612</v>
      </c>
      <c r="F60" s="61">
        <v>25995</v>
      </c>
    </row>
    <row r="61" spans="1:6" ht="14.4" x14ac:dyDescent="0.25">
      <c r="A61" s="53" t="s">
        <v>298</v>
      </c>
      <c r="B61" s="52">
        <v>7108.5</v>
      </c>
      <c r="C61" s="52">
        <v>8588.25</v>
      </c>
      <c r="D61" s="52">
        <v>3114.75</v>
      </c>
      <c r="E61" s="52">
        <v>4874.375</v>
      </c>
      <c r="F61" s="59" t="s">
        <v>355</v>
      </c>
    </row>
    <row r="62" spans="1:6" ht="14.4" x14ac:dyDescent="0.25">
      <c r="A62" s="53" t="s">
        <v>299</v>
      </c>
      <c r="B62" s="52">
        <v>7149.125</v>
      </c>
      <c r="C62" s="52">
        <v>8624.5</v>
      </c>
      <c r="D62" s="52">
        <v>3145.375</v>
      </c>
      <c r="E62" s="52">
        <v>4902.5</v>
      </c>
      <c r="F62" s="59" t="s">
        <v>504</v>
      </c>
    </row>
    <row r="63" spans="1:6" x14ac:dyDescent="0.25">
      <c r="A63" s="53" t="s">
        <v>300</v>
      </c>
      <c r="B63" s="52">
        <v>-1345000</v>
      </c>
      <c r="C63" s="52">
        <v>783000</v>
      </c>
      <c r="D63" s="52">
        <v>183000</v>
      </c>
      <c r="E63" s="52">
        <v>1089000</v>
      </c>
    </row>
    <row r="64" spans="1:6" x14ac:dyDescent="0.25">
      <c r="A64" s="53" t="s">
        <v>301</v>
      </c>
      <c r="B64" s="52">
        <v>14879</v>
      </c>
      <c r="C64" s="52">
        <v>-15851</v>
      </c>
      <c r="D64" s="52">
        <v>-2364</v>
      </c>
      <c r="E64" s="52">
        <v>33386</v>
      </c>
    </row>
    <row r="65" spans="1:5" x14ac:dyDescent="0.25">
      <c r="A65" s="53" t="s">
        <v>237</v>
      </c>
      <c r="B65" s="54" t="s">
        <v>238</v>
      </c>
      <c r="C65" s="54" t="s">
        <v>238</v>
      </c>
      <c r="D65" s="54" t="s">
        <v>238</v>
      </c>
      <c r="E65" s="54" t="s">
        <v>238</v>
      </c>
    </row>
    <row r="66" spans="1:5" x14ac:dyDescent="0.25">
      <c r="A66" s="53" t="s">
        <v>239</v>
      </c>
      <c r="B66" s="54" t="s">
        <v>240</v>
      </c>
      <c r="C66" s="54" t="s">
        <v>240</v>
      </c>
      <c r="D66" s="54" t="s">
        <v>240</v>
      </c>
      <c r="E66" s="54" t="s">
        <v>240</v>
      </c>
    </row>
    <row r="67" spans="1:5" x14ac:dyDescent="0.25">
      <c r="A67" s="51"/>
    </row>
  </sheetData>
  <mergeCells count="3">
    <mergeCell ref="A1:D1"/>
    <mergeCell ref="A12:E12"/>
    <mergeCell ref="A2:L2"/>
  </mergeCells>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1.0 Lemon Grove Case Study Ans</vt:lpstr>
      <vt:lpstr>1.1 Lemon Grove Circularity</vt:lpstr>
      <vt:lpstr>FS Cover</vt:lpstr>
      <vt:lpstr>FS Outputs</vt:lpstr>
      <vt:lpstr>FS Transaction Details</vt:lpstr>
      <vt:lpstr>FS Drivers and Inputs</vt:lpstr>
      <vt:lpstr>FS Model</vt:lpstr>
      <vt:lpstr>Income Statement</vt:lpstr>
      <vt:lpstr>Cash Flow</vt:lpstr>
      <vt:lpstr>Balance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Tejjas Kumar</dc:creator>
  <cp:keywords/>
  <dc:description/>
  <cp:lastModifiedBy>Kumar4,T (ug)</cp:lastModifiedBy>
  <cp:revision/>
  <dcterms:created xsi:type="dcterms:W3CDTF">2015-06-05T18:19:34Z</dcterms:created>
  <dcterms:modified xsi:type="dcterms:W3CDTF">2025-11-28T13:29:34Z</dcterms:modified>
  <cp:category/>
  <cp:contentStatus/>
</cp:coreProperties>
</file>